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3945" windowWidth="18615" windowHeight="7530" tabRatio="922"/>
  </bookViews>
  <sheets>
    <sheet name="zał. nr 2" sheetId="1" r:id="rId1"/>
    <sheet name="Drogi" sheetId="2" r:id="rId2"/>
    <sheet name="Polityka społeczna i rozwój prz" sheetId="3" r:id="rId3"/>
    <sheet name="Ochrona zdrowia" sheetId="4" r:id="rId4"/>
    <sheet name="Oświata" sheetId="5" r:id="rId5"/>
    <sheet name="Administracja" sheetId="6" r:id="rId6"/>
    <sheet name="Kultura" sheetId="7" r:id="rId7"/>
    <sheet name="Rolnictwo i Ochrona środowiska" sheetId="8" r:id="rId8"/>
    <sheet name="Kultura fizyczna i turystyka" sheetId="9" r:id="rId9"/>
    <sheet name="Planowanie przestrzenne" sheetId="10" r:id="rId10"/>
    <sheet name="Arkusz1" sheetId="14" state="hidden" r:id="rId11"/>
  </sheets>
  <definedNames>
    <definedName name="_xlnm._FilterDatabase" localSheetId="1" hidden="1">Drogi!$A$9:$DZ$468</definedName>
    <definedName name="_xlnm._FilterDatabase" localSheetId="7" hidden="1">'Rolnictwo i Ochrona środowiska'!$A$3:$N$157</definedName>
    <definedName name="_xlnm.Print_Area" localSheetId="5">Administracja!$A$1:$N$136</definedName>
    <definedName name="_xlnm.Print_Area" localSheetId="1">Drogi!$A$1:$N$523</definedName>
    <definedName name="_xlnm.Print_Area" localSheetId="6">Kultura!$A$1:$N$91</definedName>
    <definedName name="_xlnm.Print_Area" localSheetId="8">'Kultura fizyczna i turystyka'!$A$1:$N$88</definedName>
    <definedName name="_xlnm.Print_Area" localSheetId="3">'Ochrona zdrowia'!$A$1:$N$78</definedName>
    <definedName name="_xlnm.Print_Area" localSheetId="4">Oświata!$A$1:$N$84</definedName>
    <definedName name="_xlnm.Print_Area" localSheetId="9">'Planowanie przestrzenne'!$A$1:$N$48</definedName>
    <definedName name="_xlnm.Print_Area" localSheetId="2">'Polityka społeczna i rozwój prz'!$A$1:$N$212</definedName>
    <definedName name="_xlnm.Print_Area" localSheetId="7">'Rolnictwo i Ochrona środowiska'!$A$1:$N$257</definedName>
    <definedName name="_xlnm.Print_Area" localSheetId="0">'zał. nr 2'!$A$1:$L$90</definedName>
    <definedName name="_xlnm.Print_Titles" localSheetId="5">Administracja!$5:$9</definedName>
    <definedName name="_xlnm.Print_Titles" localSheetId="1">Drogi!$6:$10</definedName>
    <definedName name="_xlnm.Print_Titles" localSheetId="6">Kultura!$4:$8</definedName>
    <definedName name="_xlnm.Print_Titles" localSheetId="8">'Kultura fizyczna i turystyka'!$6:$10</definedName>
    <definedName name="_xlnm.Print_Titles" localSheetId="3">'Ochrona zdrowia'!$4:$8</definedName>
    <definedName name="_xlnm.Print_Titles" localSheetId="4">Oświata!$6:$9</definedName>
    <definedName name="_xlnm.Print_Titles" localSheetId="9">'Planowanie przestrzenne'!$6:$10</definedName>
    <definedName name="_xlnm.Print_Titles" localSheetId="2">'Polityka społeczna i rozwój prz'!$4:$8</definedName>
    <definedName name="_xlnm.Print_Titles" localSheetId="7">'Rolnictwo i Ochrona środowiska'!$4:$8</definedName>
  </definedNames>
  <calcPr calcId="145621"/>
</workbook>
</file>

<file path=xl/calcChain.xml><?xml version="1.0" encoding="utf-8"?>
<calcChain xmlns="http://schemas.openxmlformats.org/spreadsheetml/2006/main">
  <c r="K84" i="9" l="1"/>
  <c r="G84" i="9"/>
  <c r="I12" i="2" l="1"/>
  <c r="I11" i="2"/>
  <c r="D468" i="2" l="1"/>
  <c r="D36" i="1"/>
  <c r="E36" i="1"/>
  <c r="E15" i="5"/>
  <c r="F15" i="5"/>
  <c r="E194" i="8" l="1"/>
  <c r="E42" i="8" l="1"/>
  <c r="E45" i="8"/>
  <c r="I79" i="5"/>
  <c r="I76" i="5"/>
  <c r="I48" i="9"/>
  <c r="I75" i="5" l="1"/>
  <c r="F17" i="7"/>
  <c r="G17" i="7"/>
  <c r="F15" i="7"/>
  <c r="G15" i="7"/>
  <c r="F14" i="7"/>
  <c r="G14" i="7"/>
  <c r="D9" i="4"/>
  <c r="D10" i="4"/>
  <c r="D11" i="4"/>
  <c r="J11" i="4" s="1"/>
  <c r="L11" i="4"/>
  <c r="K11" i="4"/>
  <c r="E11" i="4"/>
  <c r="F11" i="4"/>
  <c r="G11" i="4"/>
  <c r="H11" i="4"/>
  <c r="I11" i="4"/>
  <c r="H76" i="4"/>
  <c r="L23" i="4"/>
  <c r="J23" i="4"/>
  <c r="K23" i="4"/>
  <c r="M23" i="4" s="1"/>
  <c r="I23" i="4"/>
  <c r="F23" i="4"/>
  <c r="G23" i="4"/>
  <c r="H23" i="4"/>
  <c r="E23" i="4"/>
  <c r="D23" i="4"/>
  <c r="J17" i="4"/>
  <c r="L17" i="4"/>
  <c r="E17" i="4"/>
  <c r="F17" i="4"/>
  <c r="G17" i="4"/>
  <c r="H17" i="4"/>
  <c r="I17" i="4"/>
  <c r="K17" i="4"/>
  <c r="M17" i="4"/>
  <c r="D17" i="4"/>
  <c r="J14" i="4"/>
  <c r="I14" i="4"/>
  <c r="K14" i="4"/>
  <c r="E14" i="4"/>
  <c r="F14" i="4"/>
  <c r="G14" i="4"/>
  <c r="L14" i="4" s="1"/>
  <c r="H14" i="4"/>
  <c r="D14" i="4"/>
  <c r="J15" i="4"/>
  <c r="J16" i="4"/>
  <c r="J18" i="4"/>
  <c r="K13" i="4"/>
  <c r="I13" i="4"/>
  <c r="E13" i="4"/>
  <c r="F13" i="4"/>
  <c r="G13" i="4"/>
  <c r="H13" i="4"/>
  <c r="J20" i="4"/>
  <c r="K20" i="4"/>
  <c r="H20" i="4"/>
  <c r="I20" i="4"/>
  <c r="E20" i="4"/>
  <c r="F20" i="4"/>
  <c r="G20" i="4"/>
  <c r="D20" i="4"/>
  <c r="E15" i="4"/>
  <c r="F15" i="4"/>
  <c r="G15" i="4"/>
  <c r="H15" i="4"/>
  <c r="E16" i="4"/>
  <c r="F16" i="4"/>
  <c r="G16" i="4"/>
  <c r="H16" i="4"/>
  <c r="E18" i="4"/>
  <c r="F18" i="4"/>
  <c r="G18" i="4"/>
  <c r="H18" i="4"/>
  <c r="E26" i="4"/>
  <c r="F26" i="4"/>
  <c r="G26" i="4"/>
  <c r="H26" i="4"/>
  <c r="E25" i="4"/>
  <c r="F25" i="4"/>
  <c r="G25" i="4"/>
  <c r="H25" i="4"/>
  <c r="E24" i="4"/>
  <c r="F24" i="4"/>
  <c r="G24" i="4"/>
  <c r="H24" i="4"/>
  <c r="E22" i="4"/>
  <c r="E21" i="4" s="1"/>
  <c r="F22" i="4"/>
  <c r="F21" i="4" s="1"/>
  <c r="G22" i="4"/>
  <c r="G21" i="4" s="1"/>
  <c r="H22" i="4"/>
  <c r="H21" i="4" s="1"/>
  <c r="H19" i="4"/>
  <c r="G19" i="4"/>
  <c r="F19" i="4"/>
  <c r="E19" i="4"/>
  <c r="F12" i="4" l="1"/>
  <c r="E12" i="4"/>
  <c r="H12" i="4"/>
  <c r="G12" i="4"/>
  <c r="L68" i="9"/>
  <c r="L67" i="9" s="1"/>
  <c r="L65" i="9"/>
  <c r="L64" i="9" s="1"/>
  <c r="E79" i="7" l="1"/>
  <c r="I79" i="7" s="1"/>
  <c r="E74" i="7"/>
  <c r="E71" i="7"/>
  <c r="E72" i="7"/>
  <c r="D79" i="7"/>
  <c r="D77" i="7"/>
  <c r="D76" i="7" s="1"/>
  <c r="D74" i="7"/>
  <c r="D72" i="7"/>
  <c r="D71" i="7" l="1"/>
  <c r="I71" i="7"/>
  <c r="E17" i="7"/>
  <c r="I74" i="7"/>
  <c r="I27" i="10"/>
  <c r="K23" i="10"/>
  <c r="I25" i="10"/>
  <c r="I30" i="10"/>
  <c r="E27" i="10" l="1"/>
  <c r="E25" i="10"/>
  <c r="I101" i="6" l="1"/>
  <c r="I100" i="6" s="1"/>
  <c r="I99" i="6" s="1"/>
  <c r="I45" i="9" l="1"/>
  <c r="I43" i="9"/>
  <c r="I36" i="9"/>
  <c r="I34" i="9"/>
  <c r="I52" i="9"/>
  <c r="I59" i="9"/>
  <c r="I195" i="3" l="1"/>
  <c r="I74" i="5"/>
  <c r="I73" i="5" s="1"/>
  <c r="I71" i="5"/>
  <c r="I72" i="5"/>
  <c r="I183" i="3"/>
  <c r="F44" i="5"/>
  <c r="F43" i="5" s="1"/>
  <c r="F41" i="5"/>
  <c r="F40" i="5" s="1"/>
  <c r="H68" i="9"/>
  <c r="H67" i="9" s="1"/>
  <c r="H65" i="9"/>
  <c r="H64" i="9" s="1"/>
  <c r="G68" i="9"/>
  <c r="G67" i="9" s="1"/>
  <c r="G65" i="9"/>
  <c r="G64" i="9" s="1"/>
  <c r="E42" i="9"/>
  <c r="E44" i="9"/>
  <c r="E30" i="9"/>
  <c r="E27" i="9"/>
  <c r="E25" i="9"/>
  <c r="I25" i="9" s="1"/>
  <c r="H88" i="9"/>
  <c r="H84" i="9" s="1"/>
  <c r="E176" i="3"/>
  <c r="E174" i="3"/>
  <c r="E171" i="3"/>
  <c r="I171" i="3" s="1"/>
  <c r="I170" i="3" s="1"/>
  <c r="E169" i="3"/>
  <c r="I169" i="3" s="1"/>
  <c r="I167" i="3" s="1"/>
  <c r="E41" i="9" l="1"/>
  <c r="I70" i="5"/>
  <c r="I166" i="3"/>
  <c r="I69" i="5"/>
  <c r="L67" i="7"/>
  <c r="L65" i="7"/>
  <c r="L62" i="7"/>
  <c r="L50" i="7"/>
  <c r="K15" i="7"/>
  <c r="K22" i="7"/>
  <c r="G22" i="7"/>
  <c r="K203" i="3"/>
  <c r="L204" i="3"/>
  <c r="I204" i="3"/>
  <c r="K17" i="5"/>
  <c r="K15" i="5"/>
  <c r="I24" i="5"/>
  <c r="L24" i="5"/>
  <c r="I38" i="5"/>
  <c r="I35" i="5"/>
  <c r="I33" i="5"/>
  <c r="I15" i="5" s="1"/>
  <c r="H38" i="5"/>
  <c r="H35" i="5"/>
  <c r="H33" i="5"/>
  <c r="F32" i="5"/>
  <c r="F34" i="5"/>
  <c r="F37" i="5"/>
  <c r="F36" i="5" s="1"/>
  <c r="D29" i="5"/>
  <c r="I29" i="5"/>
  <c r="D26" i="5"/>
  <c r="D24" i="5"/>
  <c r="D23" i="5" s="1"/>
  <c r="F31" i="5" l="1"/>
  <c r="J24" i="5"/>
  <c r="I111" i="3"/>
  <c r="I117" i="3"/>
  <c r="I114" i="3"/>
  <c r="I90" i="3"/>
  <c r="I93" i="3"/>
  <c r="I88" i="3"/>
  <c r="I87" i="3"/>
  <c r="I42" i="3"/>
  <c r="I41" i="3" s="1"/>
  <c r="I38" i="3" s="1"/>
  <c r="I203" i="3" l="1"/>
  <c r="F206" i="3"/>
  <c r="F211" i="3"/>
  <c r="F208" i="3" s="1"/>
  <c r="F203" i="3"/>
  <c r="F202" i="3" s="1"/>
  <c r="E92" i="6"/>
  <c r="I92" i="6" s="1"/>
  <c r="E90" i="6"/>
  <c r="I90" i="6" s="1"/>
  <c r="E87" i="6"/>
  <c r="I87" i="6" s="1"/>
  <c r="E85" i="6"/>
  <c r="I85" i="6" s="1"/>
  <c r="I136" i="6"/>
  <c r="H136" i="6"/>
  <c r="I48" i="7"/>
  <c r="E53" i="7"/>
  <c r="E47" i="7"/>
  <c r="I43" i="7"/>
  <c r="I41" i="7"/>
  <c r="K34" i="7"/>
  <c r="I38" i="7"/>
  <c r="E36" i="7"/>
  <c r="E15" i="7" s="1"/>
  <c r="E35" i="7"/>
  <c r="E14" i="7" s="1"/>
  <c r="L84" i="7"/>
  <c r="L91" i="7"/>
  <c r="L89" i="7"/>
  <c r="I35" i="7" l="1"/>
  <c r="H128" i="6"/>
  <c r="E128" i="6"/>
  <c r="I71" i="4"/>
  <c r="I66" i="4"/>
  <c r="I72" i="4"/>
  <c r="H72" i="4"/>
  <c r="E71" i="4"/>
  <c r="I67" i="4"/>
  <c r="D67" i="4"/>
  <c r="H67" i="4"/>
  <c r="E66" i="4"/>
  <c r="K52" i="4"/>
  <c r="F52" i="4"/>
  <c r="G52" i="4"/>
  <c r="H52" i="4"/>
  <c r="E52" i="4"/>
  <c r="H53" i="4"/>
  <c r="E53" i="4"/>
  <c r="H54" i="4"/>
  <c r="E54" i="4"/>
  <c r="H55" i="4"/>
  <c r="E55" i="4"/>
  <c r="E56" i="4"/>
  <c r="H61" i="4"/>
  <c r="E61" i="4"/>
  <c r="E62" i="4"/>
  <c r="I38" i="4"/>
  <c r="I39" i="4"/>
  <c r="I40" i="4"/>
  <c r="I41" i="4"/>
  <c r="L38" i="4"/>
  <c r="I42" i="4"/>
  <c r="I47" i="4"/>
  <c r="I49" i="4"/>
  <c r="I44" i="4"/>
  <c r="D39" i="4"/>
  <c r="E40" i="4"/>
  <c r="E41" i="4"/>
  <c r="D42" i="4"/>
  <c r="E44" i="4"/>
  <c r="D48" i="4"/>
  <c r="D47" i="4"/>
  <c r="D46" i="4" s="1"/>
  <c r="E49" i="4"/>
  <c r="D49" i="4"/>
  <c r="F39" i="4"/>
  <c r="G39" i="4"/>
  <c r="F45" i="4"/>
  <c r="G45" i="4"/>
  <c r="G48" i="4"/>
  <c r="G32" i="4"/>
  <c r="G29" i="4"/>
  <c r="G28" i="4"/>
  <c r="E30" i="4"/>
  <c r="E31" i="4"/>
  <c r="E33" i="4"/>
  <c r="G35" i="4"/>
  <c r="G34" i="4" s="1"/>
  <c r="E36" i="4"/>
  <c r="E64" i="3"/>
  <c r="I64" i="3" s="1"/>
  <c r="I62" i="3" s="1"/>
  <c r="E66" i="3"/>
  <c r="I66" i="3" s="1"/>
  <c r="E69" i="3"/>
  <c r="I69" i="3" s="1"/>
  <c r="E71" i="3"/>
  <c r="I71" i="3" s="1"/>
  <c r="I52" i="3"/>
  <c r="I54" i="3"/>
  <c r="I57" i="3"/>
  <c r="I59" i="3"/>
  <c r="D45" i="4" l="1"/>
  <c r="H95" i="6"/>
  <c r="E98" i="6"/>
  <c r="I98" i="6" s="1"/>
  <c r="I97" i="6" s="1"/>
  <c r="E96" i="6"/>
  <c r="I96" i="6" s="1"/>
  <c r="I95" i="6" s="1"/>
  <c r="I94" i="6" s="1"/>
  <c r="H81" i="6"/>
  <c r="E81" i="6"/>
  <c r="E78" i="6"/>
  <c r="H74" i="6"/>
  <c r="E74" i="6"/>
  <c r="E71" i="6"/>
  <c r="E34" i="6"/>
  <c r="E32" i="6"/>
  <c r="E29" i="6"/>
  <c r="E27" i="6"/>
  <c r="E164" i="3"/>
  <c r="I164" i="3" s="1"/>
  <c r="E159" i="3"/>
  <c r="I159" i="3" s="1"/>
  <c r="E156" i="3"/>
  <c r="E152" i="3"/>
  <c r="I152" i="3" s="1"/>
  <c r="E147" i="3"/>
  <c r="I147" i="3" s="1"/>
  <c r="E145" i="3"/>
  <c r="E144" i="3"/>
  <c r="I144" i="3" s="1"/>
  <c r="E140" i="3"/>
  <c r="I140" i="3" s="1"/>
  <c r="E138" i="3"/>
  <c r="I138" i="3" s="1"/>
  <c r="E135" i="3"/>
  <c r="I135" i="3" s="1"/>
  <c r="E133" i="3"/>
  <c r="I133" i="3" s="1"/>
  <c r="F14" i="3"/>
  <c r="G14" i="3"/>
  <c r="H14" i="3"/>
  <c r="K14" i="3"/>
  <c r="F17" i="3"/>
  <c r="G17" i="3"/>
  <c r="H17" i="3"/>
  <c r="K17" i="3"/>
  <c r="F22" i="3"/>
  <c r="G22" i="3"/>
  <c r="H22" i="3"/>
  <c r="E124" i="3"/>
  <c r="F124" i="3"/>
  <c r="G124" i="3"/>
  <c r="H124" i="3"/>
  <c r="E127" i="3"/>
  <c r="E122" i="3"/>
  <c r="E121" i="3" s="1"/>
  <c r="F122" i="3"/>
  <c r="G122" i="3"/>
  <c r="G121" i="3" s="1"/>
  <c r="H122" i="3"/>
  <c r="K122" i="3"/>
  <c r="M128" i="3"/>
  <c r="L128" i="3"/>
  <c r="I128" i="3"/>
  <c r="I127" i="3" s="1"/>
  <c r="I126" i="3" s="1"/>
  <c r="D128" i="3"/>
  <c r="D127" i="3" s="1"/>
  <c r="K127" i="3"/>
  <c r="K126" i="3" s="1"/>
  <c r="H127" i="3"/>
  <c r="H126" i="3" s="1"/>
  <c r="G127" i="3"/>
  <c r="F127" i="3"/>
  <c r="F126" i="3" s="1"/>
  <c r="E126" i="3"/>
  <c r="M125" i="3"/>
  <c r="L125" i="3"/>
  <c r="I125" i="3"/>
  <c r="I124" i="3" s="1"/>
  <c r="D125" i="3"/>
  <c r="D124" i="3" s="1"/>
  <c r="K124" i="3"/>
  <c r="L124" i="3" s="1"/>
  <c r="M123" i="3"/>
  <c r="L123" i="3"/>
  <c r="L122" i="3" s="1"/>
  <c r="I123" i="3"/>
  <c r="D123" i="3"/>
  <c r="D122" i="3" s="1"/>
  <c r="F110" i="3"/>
  <c r="F113" i="3"/>
  <c r="E107" i="3"/>
  <c r="I107" i="3" s="1"/>
  <c r="E105" i="3"/>
  <c r="I105" i="3" s="1"/>
  <c r="E102" i="3"/>
  <c r="I102" i="3" s="1"/>
  <c r="E100" i="3"/>
  <c r="I100" i="3" s="1"/>
  <c r="E99" i="3"/>
  <c r="I99" i="3" s="1"/>
  <c r="I156" i="3" l="1"/>
  <c r="L127" i="3"/>
  <c r="L126" i="3" s="1"/>
  <c r="K121" i="3"/>
  <c r="J127" i="3"/>
  <c r="D121" i="3"/>
  <c r="L121" i="3"/>
  <c r="H121" i="3"/>
  <c r="F121" i="3"/>
  <c r="J123" i="3"/>
  <c r="J128" i="3"/>
  <c r="J124" i="3"/>
  <c r="J125" i="3"/>
  <c r="D126" i="3"/>
  <c r="J126" i="3" s="1"/>
  <c r="G126" i="3"/>
  <c r="M126" i="3" s="1"/>
  <c r="I122" i="3"/>
  <c r="F109" i="3"/>
  <c r="M127" i="3"/>
  <c r="M124" i="3"/>
  <c r="M121" i="3"/>
  <c r="M122" i="3"/>
  <c r="E83" i="3"/>
  <c r="E81" i="3"/>
  <c r="I81" i="3" s="1"/>
  <c r="E78" i="3"/>
  <c r="E76" i="3"/>
  <c r="I76" i="3" s="1"/>
  <c r="E75" i="3"/>
  <c r="I75" i="3" s="1"/>
  <c r="E36" i="3"/>
  <c r="E33" i="3"/>
  <c r="I33" i="3" s="1"/>
  <c r="L33" i="2"/>
  <c r="J32" i="2"/>
  <c r="K32" i="2"/>
  <c r="I32" i="2"/>
  <c r="E32" i="2"/>
  <c r="F32" i="2"/>
  <c r="G32" i="2"/>
  <c r="H32" i="2"/>
  <c r="I508" i="2"/>
  <c r="I400" i="2"/>
  <c r="I399" i="2"/>
  <c r="I393" i="2"/>
  <c r="I392" i="2"/>
  <c r="I520" i="2"/>
  <c r="I516" i="2"/>
  <c r="I512" i="2"/>
  <c r="I488" i="2"/>
  <c r="I492" i="2"/>
  <c r="I489" i="2"/>
  <c r="I484" i="2"/>
  <c r="I476" i="2"/>
  <c r="I472" i="2"/>
  <c r="I341" i="2"/>
  <c r="I345" i="2"/>
  <c r="I350" i="2"/>
  <c r="E14" i="3" l="1"/>
  <c r="I78" i="3"/>
  <c r="E17" i="3"/>
  <c r="I83" i="3"/>
  <c r="E22" i="3"/>
  <c r="I14" i="3"/>
  <c r="I121" i="3"/>
  <c r="J121" i="3" s="1"/>
  <c r="J122" i="3"/>
  <c r="I293" i="2"/>
  <c r="I275" i="2"/>
  <c r="I266" i="2"/>
  <c r="I262" i="2"/>
  <c r="I259" i="2"/>
  <c r="I257" i="2"/>
  <c r="I248" i="2"/>
  <c r="I246" i="2"/>
  <c r="I234" i="2"/>
  <c r="I227" i="2"/>
  <c r="I225" i="2"/>
  <c r="I206" i="2"/>
  <c r="I204" i="2"/>
  <c r="I150" i="2"/>
  <c r="I148" i="2"/>
  <c r="I147" i="2"/>
  <c r="I57" i="2" l="1"/>
  <c r="E12" i="2" l="1"/>
  <c r="F12" i="2"/>
  <c r="G12" i="2"/>
  <c r="H12" i="2"/>
  <c r="D12" i="2"/>
  <c r="E13" i="2"/>
  <c r="F13" i="2"/>
  <c r="G13" i="2"/>
  <c r="H13" i="2"/>
  <c r="D13" i="2"/>
  <c r="F487" i="2"/>
  <c r="D487" i="2"/>
  <c r="E487" i="2"/>
  <c r="H520" i="2"/>
  <c r="H516" i="2"/>
  <c r="E516" i="2"/>
  <c r="H512" i="2"/>
  <c r="E512" i="2"/>
  <c r="F499" i="2"/>
  <c r="H500" i="2"/>
  <c r="H496" i="2"/>
  <c r="E496" i="2"/>
  <c r="E488" i="2"/>
  <c r="E476" i="2"/>
  <c r="E472" i="2"/>
  <c r="H468" i="2"/>
  <c r="E468" i="2"/>
  <c r="E460" i="2"/>
  <c r="E457" i="2"/>
  <c r="E456" i="2"/>
  <c r="E445" i="2"/>
  <c r="E444" i="2" s="1"/>
  <c r="G384" i="2" l="1"/>
  <c r="G382" i="2"/>
  <c r="K384" i="2"/>
  <c r="E384" i="2"/>
  <c r="F384" i="2"/>
  <c r="H384" i="2"/>
  <c r="I384" i="2"/>
  <c r="D384" i="2"/>
  <c r="K377" i="2"/>
  <c r="E377" i="2"/>
  <c r="F377" i="2"/>
  <c r="G377" i="2"/>
  <c r="H377" i="2"/>
  <c r="D377" i="2"/>
  <c r="K372" i="2"/>
  <c r="E372" i="2"/>
  <c r="F372" i="2"/>
  <c r="G372" i="2"/>
  <c r="H372" i="2"/>
  <c r="D372" i="2"/>
  <c r="E397" i="2"/>
  <c r="M409" i="2"/>
  <c r="I409" i="2"/>
  <c r="D409" i="2"/>
  <c r="K408" i="2"/>
  <c r="I408" i="2"/>
  <c r="H408" i="2"/>
  <c r="G408" i="2"/>
  <c r="G407" i="2" s="1"/>
  <c r="M407" i="2" s="1"/>
  <c r="F408" i="2"/>
  <c r="D408" i="2"/>
  <c r="D407" i="2" s="1"/>
  <c r="J407" i="2" s="1"/>
  <c r="K407" i="2"/>
  <c r="I407" i="2"/>
  <c r="H407" i="2"/>
  <c r="F407" i="2"/>
  <c r="M406" i="2"/>
  <c r="L406" i="2"/>
  <c r="I406" i="2"/>
  <c r="I377" i="2" s="1"/>
  <c r="D406" i="2"/>
  <c r="K405" i="2"/>
  <c r="H405" i="2"/>
  <c r="G405" i="2"/>
  <c r="L405" i="2" s="1"/>
  <c r="F405" i="2"/>
  <c r="E405" i="2"/>
  <c r="D405" i="2"/>
  <c r="M404" i="2"/>
  <c r="L404" i="2"/>
  <c r="H403" i="2"/>
  <c r="D404" i="2"/>
  <c r="D403" i="2" s="1"/>
  <c r="D402" i="2" s="1"/>
  <c r="K403" i="2"/>
  <c r="G403" i="2"/>
  <c r="G402" i="2" s="1"/>
  <c r="F403" i="2"/>
  <c r="E403" i="2"/>
  <c r="F402" i="2"/>
  <c r="E354" i="2"/>
  <c r="D350" i="2"/>
  <c r="E349" i="2"/>
  <c r="E348" i="2" s="1"/>
  <c r="E347" i="2"/>
  <c r="E345" i="2"/>
  <c r="M408" i="2" l="1"/>
  <c r="J406" i="2"/>
  <c r="M405" i="2"/>
  <c r="J408" i="2"/>
  <c r="H402" i="2"/>
  <c r="L403" i="2"/>
  <c r="M403" i="2"/>
  <c r="E402" i="2"/>
  <c r="K402" i="2"/>
  <c r="K12" i="2" s="1"/>
  <c r="I404" i="2"/>
  <c r="I372" i="2" s="1"/>
  <c r="I405" i="2"/>
  <c r="J405" i="2" s="1"/>
  <c r="J409" i="2"/>
  <c r="E338" i="2"/>
  <c r="E336" i="2"/>
  <c r="J404" i="2" l="1"/>
  <c r="I403" i="2"/>
  <c r="M402" i="2"/>
  <c r="L402" i="2"/>
  <c r="I103" i="2"/>
  <c r="I73" i="2"/>
  <c r="I72" i="2"/>
  <c r="I61" i="2"/>
  <c r="J403" i="2" l="1"/>
  <c r="I402" i="2"/>
  <c r="J12" i="2" s="1"/>
  <c r="F42" i="2"/>
  <c r="E119" i="2"/>
  <c r="E103" i="2"/>
  <c r="E292" i="2"/>
  <c r="E291" i="2" s="1"/>
  <c r="E275" i="2"/>
  <c r="E259" i="2"/>
  <c r="E257" i="2"/>
  <c r="E248" i="2"/>
  <c r="E246" i="2"/>
  <c r="E241" i="2"/>
  <c r="E240" i="2"/>
  <c r="E237" i="2"/>
  <c r="E235" i="2"/>
  <c r="E227" i="2"/>
  <c r="E225" i="2"/>
  <c r="E221" i="2"/>
  <c r="E206" i="2"/>
  <c r="E204" i="2"/>
  <c r="E200" i="2"/>
  <c r="E195" i="2"/>
  <c r="E192" i="2"/>
  <c r="E188" i="2"/>
  <c r="E180" i="2"/>
  <c r="E164" i="2"/>
  <c r="E161" i="2"/>
  <c r="E159" i="2"/>
  <c r="E150" i="2"/>
  <c r="E148" i="2"/>
  <c r="E147" i="2"/>
  <c r="E143" i="2"/>
  <c r="E140" i="2"/>
  <c r="E137" i="2"/>
  <c r="E134" i="2"/>
  <c r="E133" i="2"/>
  <c r="E126" i="2"/>
  <c r="E122" i="2"/>
  <c r="E117" i="2"/>
  <c r="E113" i="2"/>
  <c r="E110" i="2"/>
  <c r="E106" i="2"/>
  <c r="E101" i="2"/>
  <c r="E97" i="2"/>
  <c r="E94" i="2"/>
  <c r="E91" i="2"/>
  <c r="E88" i="2"/>
  <c r="E87" i="2"/>
  <c r="E83" i="2"/>
  <c r="E80" i="2"/>
  <c r="E79" i="2"/>
  <c r="E76" i="2"/>
  <c r="E73" i="2"/>
  <c r="E72" i="2"/>
  <c r="E71" i="2"/>
  <c r="E64" i="2"/>
  <c r="E61" i="2"/>
  <c r="E58" i="2"/>
  <c r="E57" i="2"/>
  <c r="E268" i="2"/>
  <c r="F40" i="2"/>
  <c r="J402" i="2" l="1"/>
  <c r="E40" i="2"/>
  <c r="J52" i="2"/>
  <c r="K53" i="2"/>
  <c r="E53" i="2"/>
  <c r="F53" i="2"/>
  <c r="G53" i="2"/>
  <c r="H53" i="2"/>
  <c r="J44" i="2"/>
  <c r="K45" i="2"/>
  <c r="E45" i="2"/>
  <c r="F45" i="2"/>
  <c r="G45" i="2"/>
  <c r="H45" i="2"/>
  <c r="K40" i="2"/>
  <c r="G40" i="2"/>
  <c r="H40" i="2"/>
  <c r="H309" i="2"/>
  <c r="E309" i="2"/>
  <c r="M314" i="2"/>
  <c r="I314" i="2"/>
  <c r="D314" i="2"/>
  <c r="K313" i="2"/>
  <c r="I313" i="2"/>
  <c r="G313" i="2"/>
  <c r="G312" i="2" s="1"/>
  <c r="F313" i="2"/>
  <c r="F312" i="2"/>
  <c r="M311" i="2"/>
  <c r="L311" i="2"/>
  <c r="I311" i="2"/>
  <c r="D311" i="2"/>
  <c r="D310" i="2" s="1"/>
  <c r="K310" i="2"/>
  <c r="H310" i="2"/>
  <c r="G310" i="2"/>
  <c r="F310" i="2"/>
  <c r="E310" i="2"/>
  <c r="M309" i="2"/>
  <c r="L309" i="2"/>
  <c r="I309" i="2"/>
  <c r="D309" i="2"/>
  <c r="D308" i="2" s="1"/>
  <c r="D307" i="2" s="1"/>
  <c r="K308" i="2"/>
  <c r="K307" i="2" s="1"/>
  <c r="H308" i="2"/>
  <c r="H307" i="2" s="1"/>
  <c r="G308" i="2"/>
  <c r="L308" i="2" s="1"/>
  <c r="F308" i="2"/>
  <c r="F307" i="2" s="1"/>
  <c r="E308" i="2"/>
  <c r="E307" i="2" s="1"/>
  <c r="M313" i="2" l="1"/>
  <c r="M308" i="2"/>
  <c r="G307" i="2"/>
  <c r="J309" i="2"/>
  <c r="L307" i="2"/>
  <c r="L310" i="2"/>
  <c r="J311" i="2"/>
  <c r="I310" i="2"/>
  <c r="J310" i="2" s="1"/>
  <c r="J314" i="2"/>
  <c r="D313" i="2"/>
  <c r="D312" i="2" s="1"/>
  <c r="M307" i="2"/>
  <c r="M310" i="2"/>
  <c r="I308" i="2"/>
  <c r="I312" i="2"/>
  <c r="J312" i="2" s="1"/>
  <c r="K312" i="2"/>
  <c r="M312" i="2" s="1"/>
  <c r="H313" i="2"/>
  <c r="H312" i="2" s="1"/>
  <c r="I208" i="8"/>
  <c r="F207" i="8"/>
  <c r="E193" i="8"/>
  <c r="I193" i="8" s="1"/>
  <c r="E201" i="8"/>
  <c r="I201" i="8" s="1"/>
  <c r="I194" i="8"/>
  <c r="F202" i="8"/>
  <c r="F199" i="8"/>
  <c r="F198" i="8" s="1"/>
  <c r="E204" i="8"/>
  <c r="I204" i="8" s="1"/>
  <c r="E203" i="8"/>
  <c r="I203" i="8" s="1"/>
  <c r="E200" i="8"/>
  <c r="I200" i="8" s="1"/>
  <c r="F195" i="8"/>
  <c r="F192" i="8"/>
  <c r="E197" i="8"/>
  <c r="I197" i="8" s="1"/>
  <c r="E196" i="8"/>
  <c r="I196" i="8" s="1"/>
  <c r="F191" i="8" l="1"/>
  <c r="J313" i="2"/>
  <c r="J308" i="2"/>
  <c r="I307" i="2"/>
  <c r="E89" i="8"/>
  <c r="I89" i="8" s="1"/>
  <c r="E85" i="8"/>
  <c r="I85" i="8" s="1"/>
  <c r="E81" i="8"/>
  <c r="I81" i="8" s="1"/>
  <c r="E77" i="8"/>
  <c r="I77" i="8" s="1"/>
  <c r="L224" i="8"/>
  <c r="L222" i="8"/>
  <c r="L221" i="8"/>
  <c r="K222" i="8"/>
  <c r="E228" i="8"/>
  <c r="F224" i="8"/>
  <c r="F222" i="8"/>
  <c r="F221" i="8" s="1"/>
  <c r="E225" i="8"/>
  <c r="I225" i="8" s="1"/>
  <c r="E223" i="8"/>
  <c r="I223" i="8" s="1"/>
  <c r="F141" i="8"/>
  <c r="F138" i="8"/>
  <c r="F137" i="8" s="1"/>
  <c r="E142" i="8"/>
  <c r="E139" i="8"/>
  <c r="I139" i="8" s="1"/>
  <c r="F134" i="8"/>
  <c r="F132" i="8"/>
  <c r="F131" i="8" s="1"/>
  <c r="E135" i="8"/>
  <c r="E133" i="8"/>
  <c r="I133" i="8" s="1"/>
  <c r="J307" i="2" l="1"/>
  <c r="L127" i="8"/>
  <c r="L129" i="8"/>
  <c r="I127" i="8"/>
  <c r="I124" i="8"/>
  <c r="I122" i="8"/>
  <c r="H127" i="8"/>
  <c r="H124" i="8"/>
  <c r="H123" i="8"/>
  <c r="H122" i="8"/>
  <c r="F128" i="8"/>
  <c r="F126" i="8"/>
  <c r="F125" i="8"/>
  <c r="F123" i="8"/>
  <c r="F121" i="8"/>
  <c r="F120" i="8" s="1"/>
  <c r="E128" i="8"/>
  <c r="E126" i="8"/>
  <c r="E125" i="8" s="1"/>
  <c r="E123" i="8"/>
  <c r="E121" i="8"/>
  <c r="E120" i="8" s="1"/>
  <c r="I111" i="8"/>
  <c r="H116" i="8"/>
  <c r="H113" i="8"/>
  <c r="H111" i="8"/>
  <c r="F117" i="8"/>
  <c r="F116" i="8"/>
  <c r="F115" i="8" s="1"/>
  <c r="F114" i="8" s="1"/>
  <c r="E115" i="8"/>
  <c r="F112" i="8"/>
  <c r="F110" i="8"/>
  <c r="E113" i="8"/>
  <c r="I113" i="8" s="1"/>
  <c r="E110" i="8"/>
  <c r="L58" i="8"/>
  <c r="L55" i="8"/>
  <c r="L54" i="8"/>
  <c r="L52" i="8"/>
  <c r="L49" i="8"/>
  <c r="L48" i="8" s="1"/>
  <c r="F58" i="8"/>
  <c r="F55" i="8"/>
  <c r="F54" i="8" s="1"/>
  <c r="F52" i="8"/>
  <c r="F49" i="8"/>
  <c r="F48" i="8" s="1"/>
  <c r="E59" i="8"/>
  <c r="I59" i="8" s="1"/>
  <c r="E56" i="8"/>
  <c r="I56" i="8" s="1"/>
  <c r="E53" i="8"/>
  <c r="I53" i="8" s="1"/>
  <c r="E51" i="8"/>
  <c r="I51" i="8" s="1"/>
  <c r="I257" i="8"/>
  <c r="I254" i="8"/>
  <c r="I45" i="8"/>
  <c r="I42" i="8"/>
  <c r="F44" i="8"/>
  <c r="F41" i="8"/>
  <c r="F40" i="8" s="1"/>
  <c r="F38" i="8"/>
  <c r="F35" i="8"/>
  <c r="E37" i="8"/>
  <c r="I37" i="8" s="1"/>
  <c r="E39" i="8"/>
  <c r="I39" i="8" s="1"/>
  <c r="F248" i="8"/>
  <c r="F247" i="8" s="1"/>
  <c r="E248" i="8"/>
  <c r="E247" i="8" s="1"/>
  <c r="F244" i="8"/>
  <c r="F243" i="8" s="1"/>
  <c r="E244" i="8"/>
  <c r="E243" i="8"/>
  <c r="F34" i="8" l="1"/>
  <c r="F109" i="8"/>
  <c r="K46" i="4"/>
  <c r="K82" i="7" l="1"/>
  <c r="K11" i="7"/>
  <c r="G11" i="7"/>
  <c r="J34" i="2" l="1"/>
  <c r="L34" i="2"/>
  <c r="L23" i="2"/>
  <c r="J23" i="2"/>
  <c r="E23" i="2"/>
  <c r="D24" i="1" s="1"/>
  <c r="F23" i="2"/>
  <c r="E24" i="1" s="1"/>
  <c r="K376" i="2"/>
  <c r="K23" i="2" s="1"/>
  <c r="H376" i="2"/>
  <c r="H23" i="2" s="1"/>
  <c r="G24" i="1" s="1"/>
  <c r="G376" i="2"/>
  <c r="G23" i="2" s="1"/>
  <c r="F24" i="1" s="1"/>
  <c r="G398" i="2"/>
  <c r="K383" i="2"/>
  <c r="K34" i="2" s="1"/>
  <c r="J38" i="1" s="1"/>
  <c r="E383" i="2"/>
  <c r="E34" i="2" s="1"/>
  <c r="D38" i="1" s="1"/>
  <c r="F383" i="2"/>
  <c r="F34" i="2" s="1"/>
  <c r="E38" i="1" s="1"/>
  <c r="G383" i="2"/>
  <c r="G34" i="2" s="1"/>
  <c r="F38" i="1" s="1"/>
  <c r="H383" i="2"/>
  <c r="H34" i="2" s="1"/>
  <c r="G38" i="1" s="1"/>
  <c r="K391" i="2"/>
  <c r="M392" i="2"/>
  <c r="D392" i="2"/>
  <c r="D376" i="2" s="1"/>
  <c r="D23" i="2" s="1"/>
  <c r="C24" i="1" s="1"/>
  <c r="K398" i="2"/>
  <c r="M399" i="2"/>
  <c r="D399" i="2"/>
  <c r="D383" i="2" s="1"/>
  <c r="D34" i="2" s="1"/>
  <c r="C38" i="1" s="1"/>
  <c r="I383" i="2" l="1"/>
  <c r="M383" i="2"/>
  <c r="M34" i="2" s="1"/>
  <c r="M23" i="2"/>
  <c r="J24" i="1"/>
  <c r="I376" i="2"/>
  <c r="M376" i="2"/>
  <c r="L38" i="1"/>
  <c r="L24" i="1"/>
  <c r="I34" i="2" l="1"/>
  <c r="H38" i="1" s="1"/>
  <c r="I23" i="2"/>
  <c r="H24" i="1" s="1"/>
  <c r="K39" i="4" l="1"/>
  <c r="M39" i="4" s="1"/>
  <c r="M42" i="4"/>
  <c r="H42" i="4"/>
  <c r="I46" i="4"/>
  <c r="K45" i="4"/>
  <c r="H47" i="4"/>
  <c r="H46" i="4"/>
  <c r="H45" i="4"/>
  <c r="E46" i="4"/>
  <c r="F46" i="4"/>
  <c r="F19" i="8" l="1"/>
  <c r="F14" i="8"/>
  <c r="K436" i="2"/>
  <c r="K441" i="2"/>
  <c r="K499" i="2"/>
  <c r="K498" i="2" s="1"/>
  <c r="K19" i="8"/>
  <c r="G10" i="4"/>
  <c r="K10" i="4"/>
  <c r="K20" i="7" l="1"/>
  <c r="K17" i="7"/>
  <c r="M91" i="7"/>
  <c r="M89" i="7"/>
  <c r="M86" i="7"/>
  <c r="M84" i="7"/>
  <c r="M83" i="7"/>
  <c r="M55" i="7"/>
  <c r="M53" i="7"/>
  <c r="M50" i="7"/>
  <c r="M48" i="7"/>
  <c r="M47" i="7"/>
  <c r="M43" i="7"/>
  <c r="M41" i="7"/>
  <c r="M38" i="7"/>
  <c r="M36" i="7"/>
  <c r="M35" i="7"/>
  <c r="M26" i="7"/>
  <c r="M10" i="7"/>
  <c r="K66" i="7"/>
  <c r="K64" i="7"/>
  <c r="I67" i="7"/>
  <c r="G66" i="7"/>
  <c r="M59" i="7"/>
  <c r="M67" i="7"/>
  <c r="M65" i="7"/>
  <c r="M62" i="7"/>
  <c r="I62" i="7"/>
  <c r="M79" i="7"/>
  <c r="M74" i="7"/>
  <c r="M72" i="7"/>
  <c r="M71" i="7"/>
  <c r="K14" i="7"/>
  <c r="H14" i="7"/>
  <c r="D48" i="7"/>
  <c r="K46" i="7"/>
  <c r="L66" i="7" l="1"/>
  <c r="M14" i="7"/>
  <c r="L14" i="7"/>
  <c r="I65" i="4" l="1"/>
  <c r="K65" i="4"/>
  <c r="K64" i="4" s="1"/>
  <c r="K70" i="4"/>
  <c r="M520" i="2" l="1"/>
  <c r="M516" i="2"/>
  <c r="M512" i="2"/>
  <c r="M508" i="2"/>
  <c r="M504" i="2"/>
  <c r="M501" i="2"/>
  <c r="M500" i="2"/>
  <c r="M496" i="2"/>
  <c r="M489" i="2"/>
  <c r="M492" i="2"/>
  <c r="M488" i="2"/>
  <c r="M484" i="2"/>
  <c r="M477" i="2"/>
  <c r="M480" i="2"/>
  <c r="M476" i="2"/>
  <c r="M472" i="2"/>
  <c r="M468" i="2"/>
  <c r="M464" i="2"/>
  <c r="M460" i="2"/>
  <c r="M457" i="2"/>
  <c r="M456" i="2"/>
  <c r="M452" i="2"/>
  <c r="M451" i="2"/>
  <c r="M448" i="2"/>
  <c r="M447" i="2"/>
  <c r="M446" i="2"/>
  <c r="M400" i="2"/>
  <c r="M397" i="2"/>
  <c r="M396" i="2"/>
  <c r="M393" i="2"/>
  <c r="M390" i="2"/>
  <c r="M389" i="2"/>
  <c r="M388" i="2"/>
  <c r="M359" i="2"/>
  <c r="M356" i="2"/>
  <c r="M354" i="2"/>
  <c r="M350" i="2"/>
  <c r="M347" i="2"/>
  <c r="M345" i="2"/>
  <c r="M341" i="2"/>
  <c r="M338" i="2"/>
  <c r="M336" i="2"/>
  <c r="M305" i="2"/>
  <c r="M302" i="2"/>
  <c r="M298" i="2"/>
  <c r="M295" i="2"/>
  <c r="M293" i="2"/>
  <c r="M286" i="2"/>
  <c r="M284" i="2"/>
  <c r="M289" i="2"/>
  <c r="M280" i="2"/>
  <c r="M277" i="2"/>
  <c r="M275" i="2"/>
  <c r="M268" i="2"/>
  <c r="M266" i="2"/>
  <c r="M271" i="2"/>
  <c r="M262" i="2"/>
  <c r="M259" i="2"/>
  <c r="M257" i="2"/>
  <c r="M253" i="2"/>
  <c r="M251" i="2"/>
  <c r="M248" i="2"/>
  <c r="M246" i="2"/>
  <c r="M242" i="2"/>
  <c r="M240" i="2"/>
  <c r="M237" i="2"/>
  <c r="M235" i="2"/>
  <c r="M234" i="2"/>
  <c r="M230" i="2"/>
  <c r="M227" i="2"/>
  <c r="M225" i="2"/>
  <c r="M221" i="2"/>
  <c r="M219" i="2"/>
  <c r="M216" i="2"/>
  <c r="M214" i="2"/>
  <c r="M213" i="2"/>
  <c r="M209" i="2"/>
  <c r="M206" i="2"/>
  <c r="M204" i="2"/>
  <c r="M200" i="2"/>
  <c r="M198" i="2"/>
  <c r="M195" i="2"/>
  <c r="M193" i="2"/>
  <c r="M192" i="2"/>
  <c r="M188" i="2"/>
  <c r="M186" i="2"/>
  <c r="M183" i="2"/>
  <c r="M181" i="2"/>
  <c r="M180" i="2"/>
  <c r="M176" i="2"/>
  <c r="M174" i="2"/>
  <c r="M171" i="2"/>
  <c r="M169" i="2"/>
  <c r="M168" i="2"/>
  <c r="M164" i="2"/>
  <c r="M161" i="2"/>
  <c r="M159" i="2"/>
  <c r="M155" i="2"/>
  <c r="M153" i="2"/>
  <c r="M150" i="2"/>
  <c r="M148" i="2"/>
  <c r="M147" i="2"/>
  <c r="M143" i="2"/>
  <c r="M142" i="2"/>
  <c r="M140" i="2"/>
  <c r="M136" i="2"/>
  <c r="M134" i="2"/>
  <c r="M133" i="2"/>
  <c r="M129" i="2"/>
  <c r="M128" i="2"/>
  <c r="M126" i="2"/>
  <c r="M125" i="2"/>
  <c r="M121" i="2"/>
  <c r="M119" i="2"/>
  <c r="M118" i="2"/>
  <c r="M117" i="2"/>
  <c r="M113" i="2"/>
  <c r="M112" i="2"/>
  <c r="M110" i="2"/>
  <c r="M109" i="2"/>
  <c r="M106" i="2"/>
  <c r="M105" i="2"/>
  <c r="M103" i="2"/>
  <c r="M102" i="2"/>
  <c r="M101" i="2"/>
  <c r="M97" i="2"/>
  <c r="M96" i="2"/>
  <c r="M94" i="2"/>
  <c r="M91" i="2"/>
  <c r="M90" i="2"/>
  <c r="M88" i="2"/>
  <c r="M87" i="2"/>
  <c r="M83" i="2"/>
  <c r="M80" i="2"/>
  <c r="M79" i="2"/>
  <c r="M76" i="2"/>
  <c r="M73" i="2"/>
  <c r="M72" i="2"/>
  <c r="M71" i="2"/>
  <c r="M67" i="2"/>
  <c r="M64" i="2"/>
  <c r="M61" i="2"/>
  <c r="M58" i="2"/>
  <c r="M57" i="2"/>
  <c r="K175" i="3" l="1"/>
  <c r="M398" i="2" l="1"/>
  <c r="K61" i="7" l="1"/>
  <c r="K58" i="7"/>
  <c r="K57" i="7" l="1"/>
  <c r="L43" i="7"/>
  <c r="L35" i="7"/>
  <c r="M29" i="5" l="1"/>
  <c r="M26" i="5"/>
  <c r="M24" i="5"/>
  <c r="M92" i="6"/>
  <c r="M90" i="6"/>
  <c r="M87" i="6"/>
  <c r="M85" i="6"/>
  <c r="M136" i="6"/>
  <c r="H15" i="7" l="1"/>
  <c r="H22" i="7"/>
  <c r="H20" i="7"/>
  <c r="H17" i="7"/>
  <c r="M200" i="3"/>
  <c r="M195" i="3"/>
  <c r="M188" i="3"/>
  <c r="M183" i="3"/>
  <c r="M176" i="3"/>
  <c r="M174" i="3"/>
  <c r="M171" i="3"/>
  <c r="M169" i="3"/>
  <c r="M207" i="3"/>
  <c r="M204" i="3"/>
  <c r="K212" i="3"/>
  <c r="I212" i="3" s="1"/>
  <c r="K211" i="3"/>
  <c r="I211" i="3" s="1"/>
  <c r="H211" i="3"/>
  <c r="H208" i="3" s="1"/>
  <c r="G211" i="3"/>
  <c r="G208" i="3" s="1"/>
  <c r="I207" i="3"/>
  <c r="I17" i="3" s="1"/>
  <c r="K206" i="3"/>
  <c r="I206" i="3"/>
  <c r="I202" i="3" s="1"/>
  <c r="H206" i="3"/>
  <c r="G206" i="3"/>
  <c r="H203" i="3"/>
  <c r="H202" i="3" s="1"/>
  <c r="G203" i="3"/>
  <c r="G202" i="3" s="1"/>
  <c r="D212" i="3"/>
  <c r="D211" i="3" s="1"/>
  <c r="D210" i="3"/>
  <c r="D209" i="3" s="1"/>
  <c r="D207" i="3"/>
  <c r="D206" i="3" s="1"/>
  <c r="D205" i="3"/>
  <c r="D204" i="3"/>
  <c r="J204" i="3" s="1"/>
  <c r="M212" i="3" l="1"/>
  <c r="K22" i="3"/>
  <c r="M203" i="3"/>
  <c r="K202" i="3"/>
  <c r="M206" i="3"/>
  <c r="J212" i="3"/>
  <c r="M211" i="3"/>
  <c r="L203" i="3"/>
  <c r="K208" i="3"/>
  <c r="M208" i="3" s="1"/>
  <c r="J211" i="3"/>
  <c r="J206" i="3"/>
  <c r="J207" i="3"/>
  <c r="D208" i="3"/>
  <c r="D203" i="3"/>
  <c r="M202" i="3" l="1"/>
  <c r="L202" i="3"/>
  <c r="D202" i="3"/>
  <c r="J202" i="3" s="1"/>
  <c r="J203" i="3"/>
  <c r="I208" i="3"/>
  <c r="J208" i="3" s="1"/>
  <c r="K13" i="10"/>
  <c r="K18" i="9" l="1"/>
  <c r="F18" i="9"/>
  <c r="E18" i="9"/>
  <c r="G18" i="9"/>
  <c r="K21" i="9"/>
  <c r="G21" i="9"/>
  <c r="F21" i="9"/>
  <c r="H18" i="9"/>
  <c r="M76" i="9"/>
  <c r="I76" i="9"/>
  <c r="I75" i="9" s="1"/>
  <c r="I74" i="9" s="1"/>
  <c r="D76" i="9"/>
  <c r="K75" i="9"/>
  <c r="K74" i="9" s="1"/>
  <c r="H75" i="9"/>
  <c r="H74" i="9" s="1"/>
  <c r="G75" i="9"/>
  <c r="G74" i="9" s="1"/>
  <c r="F75" i="9"/>
  <c r="F74" i="9" s="1"/>
  <c r="E75" i="9"/>
  <c r="E74" i="9" s="1"/>
  <c r="M73" i="9"/>
  <c r="L73" i="9"/>
  <c r="D73" i="9"/>
  <c r="D72" i="9" s="1"/>
  <c r="D71" i="9" s="1"/>
  <c r="K72" i="9"/>
  <c r="K71" i="9" s="1"/>
  <c r="H72" i="9"/>
  <c r="H71" i="9" s="1"/>
  <c r="G72" i="9"/>
  <c r="G71" i="9" s="1"/>
  <c r="F72" i="9"/>
  <c r="F71" i="9" s="1"/>
  <c r="E72" i="9"/>
  <c r="E71" i="9" s="1"/>
  <c r="E21" i="9"/>
  <c r="K16" i="9"/>
  <c r="H16" i="9"/>
  <c r="G16" i="9"/>
  <c r="M16" i="9" s="1"/>
  <c r="F16" i="9"/>
  <c r="E16" i="9"/>
  <c r="M69" i="9"/>
  <c r="M66" i="9"/>
  <c r="M62" i="9"/>
  <c r="M59" i="9"/>
  <c r="M55" i="9"/>
  <c r="M52" i="9"/>
  <c r="M49" i="9"/>
  <c r="M48" i="9"/>
  <c r="M45" i="9"/>
  <c r="M43" i="9"/>
  <c r="M36" i="9"/>
  <c r="M34" i="9"/>
  <c r="M30" i="9"/>
  <c r="M27" i="9"/>
  <c r="M25" i="9"/>
  <c r="K38" i="9"/>
  <c r="I39" i="9"/>
  <c r="I38" i="9" s="1"/>
  <c r="I37" i="9" s="1"/>
  <c r="K35" i="9"/>
  <c r="K33" i="9"/>
  <c r="I35" i="9"/>
  <c r="H38" i="9"/>
  <c r="G38" i="9"/>
  <c r="F38" i="9"/>
  <c r="E38" i="9"/>
  <c r="H33" i="9"/>
  <c r="G33" i="9"/>
  <c r="F33" i="9"/>
  <c r="E33" i="9"/>
  <c r="H35" i="9"/>
  <c r="G35" i="9"/>
  <c r="L35" i="9" s="1"/>
  <c r="F35" i="9"/>
  <c r="E35" i="9"/>
  <c r="D39" i="9"/>
  <c r="D38" i="9" s="1"/>
  <c r="D37" i="9" s="1"/>
  <c r="D36" i="9"/>
  <c r="D35" i="9" s="1"/>
  <c r="D34" i="9"/>
  <c r="K37" i="9"/>
  <c r="H37" i="9"/>
  <c r="G37" i="9"/>
  <c r="F37" i="9"/>
  <c r="E37" i="9"/>
  <c r="L33" i="9" l="1"/>
  <c r="M18" i="9"/>
  <c r="I72" i="9"/>
  <c r="I71" i="9" s="1"/>
  <c r="J71" i="9" s="1"/>
  <c r="D74" i="9"/>
  <c r="J74" i="9" s="1"/>
  <c r="D75" i="9"/>
  <c r="J75" i="9" s="1"/>
  <c r="E32" i="9"/>
  <c r="G32" i="9"/>
  <c r="F32" i="9"/>
  <c r="H32" i="9"/>
  <c r="M33" i="9"/>
  <c r="M21" i="9"/>
  <c r="J76" i="9"/>
  <c r="M71" i="9"/>
  <c r="M72" i="9"/>
  <c r="J73" i="9"/>
  <c r="L71" i="9"/>
  <c r="L72" i="9"/>
  <c r="M74" i="9"/>
  <c r="M75" i="9"/>
  <c r="M37" i="9"/>
  <c r="K32" i="9"/>
  <c r="J34" i="9"/>
  <c r="M35" i="9"/>
  <c r="M38" i="9"/>
  <c r="I33" i="9"/>
  <c r="J38" i="9"/>
  <c r="J35" i="9"/>
  <c r="D33" i="9"/>
  <c r="D32" i="9" s="1"/>
  <c r="L36" i="9"/>
  <c r="J37" i="9"/>
  <c r="L34" i="9"/>
  <c r="J36" i="9"/>
  <c r="E107" i="8"/>
  <c r="E100" i="8"/>
  <c r="E86" i="8"/>
  <c r="E78" i="8"/>
  <c r="E16" i="8" s="1"/>
  <c r="E90" i="8"/>
  <c r="E82" i="8"/>
  <c r="E19" i="8"/>
  <c r="I80" i="8"/>
  <c r="K79" i="8"/>
  <c r="F79" i="8"/>
  <c r="G79" i="8"/>
  <c r="H79" i="8"/>
  <c r="E79" i="8"/>
  <c r="D80" i="8"/>
  <c r="L257" i="8"/>
  <c r="L254" i="8"/>
  <c r="G241" i="8"/>
  <c r="D254" i="8"/>
  <c r="D201" i="8"/>
  <c r="D196" i="8"/>
  <c r="L32" i="9" l="1"/>
  <c r="M32" i="9"/>
  <c r="J72" i="9"/>
  <c r="J80" i="8"/>
  <c r="J33" i="9"/>
  <c r="I32" i="9"/>
  <c r="J32" i="9" s="1"/>
  <c r="D193" i="8"/>
  <c r="M231" i="8"/>
  <c r="M235" i="8"/>
  <c r="M254" i="8"/>
  <c r="M257" i="8"/>
  <c r="M245" i="8"/>
  <c r="M246" i="8"/>
  <c r="M249" i="8"/>
  <c r="M250" i="8"/>
  <c r="M133" i="8"/>
  <c r="M36" i="8"/>
  <c r="M37" i="8"/>
  <c r="M39" i="8"/>
  <c r="M42" i="8"/>
  <c r="M43" i="8"/>
  <c r="M45" i="8"/>
  <c r="M46" i="8"/>
  <c r="M50" i="8"/>
  <c r="M51" i="8"/>
  <c r="M53" i="8"/>
  <c r="M56" i="8"/>
  <c r="M57" i="8"/>
  <c r="M59" i="8"/>
  <c r="M60" i="8"/>
  <c r="M63" i="8"/>
  <c r="M64" i="8"/>
  <c r="M66" i="8"/>
  <c r="M69" i="8"/>
  <c r="M70" i="8"/>
  <c r="M72" i="8"/>
  <c r="M76" i="8"/>
  <c r="M77" i="8"/>
  <c r="M78" i="8"/>
  <c r="M81" i="8"/>
  <c r="M82" i="8"/>
  <c r="M85" i="8"/>
  <c r="M86" i="8"/>
  <c r="M87" i="8"/>
  <c r="M89" i="8"/>
  <c r="M90" i="8"/>
  <c r="M91" i="8"/>
  <c r="M95" i="8"/>
  <c r="M96" i="8"/>
  <c r="M97" i="8"/>
  <c r="M99" i="8"/>
  <c r="M100" i="8"/>
  <c r="M103" i="8"/>
  <c r="M104" i="8"/>
  <c r="M106" i="8"/>
  <c r="M107" i="8"/>
  <c r="M111" i="8"/>
  <c r="M113" i="8"/>
  <c r="M118" i="8"/>
  <c r="M122" i="8"/>
  <c r="M124" i="8"/>
  <c r="M127" i="8"/>
  <c r="M129" i="8"/>
  <c r="M135" i="8"/>
  <c r="M136" i="8"/>
  <c r="M139" i="8"/>
  <c r="M140" i="8"/>
  <c r="M142" i="8"/>
  <c r="M143" i="8"/>
  <c r="M144" i="8"/>
  <c r="M147" i="8"/>
  <c r="M148" i="8"/>
  <c r="M150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3" i="8"/>
  <c r="M194" i="8"/>
  <c r="M196" i="8"/>
  <c r="M197" i="8"/>
  <c r="M200" i="8"/>
  <c r="M201" i="8"/>
  <c r="M203" i="8"/>
  <c r="M204" i="8"/>
  <c r="M208" i="8"/>
  <c r="M209" i="8"/>
  <c r="M211" i="8"/>
  <c r="M212" i="8"/>
  <c r="M215" i="8"/>
  <c r="M216" i="8"/>
  <c r="M218" i="8"/>
  <c r="M219" i="8"/>
  <c r="M223" i="8"/>
  <c r="M225" i="8"/>
  <c r="M228" i="8"/>
  <c r="M116" i="8"/>
  <c r="E15" i="6" l="1"/>
  <c r="F15" i="6"/>
  <c r="F16" i="6"/>
  <c r="F18" i="6"/>
  <c r="F17" i="6" s="1"/>
  <c r="F21" i="6"/>
  <c r="F20" i="6" s="1"/>
  <c r="F23" i="6"/>
  <c r="F22" i="6" s="1"/>
  <c r="F26" i="6"/>
  <c r="E16" i="6"/>
  <c r="F28" i="6"/>
  <c r="E18" i="6"/>
  <c r="E17" i="6" s="1"/>
  <c r="F31" i="6"/>
  <c r="E21" i="6"/>
  <c r="E20" i="6" s="1"/>
  <c r="F33" i="6"/>
  <c r="E23" i="6"/>
  <c r="E22" i="6" s="1"/>
  <c r="E37" i="6"/>
  <c r="F37" i="6"/>
  <c r="E39" i="6"/>
  <c r="F39" i="6"/>
  <c r="E42" i="6"/>
  <c r="F42" i="6"/>
  <c r="E44" i="6"/>
  <c r="F44" i="6"/>
  <c r="E48" i="6"/>
  <c r="F48" i="6"/>
  <c r="E50" i="6"/>
  <c r="F50" i="6"/>
  <c r="E53" i="6"/>
  <c r="F53" i="6"/>
  <c r="E55" i="6"/>
  <c r="F55" i="6"/>
  <c r="E59" i="6"/>
  <c r="F59" i="6"/>
  <c r="E61" i="6"/>
  <c r="F61" i="6"/>
  <c r="E64" i="6"/>
  <c r="F64" i="6"/>
  <c r="E66" i="6"/>
  <c r="F66" i="6"/>
  <c r="F70" i="6"/>
  <c r="F69" i="6" s="1"/>
  <c r="E70" i="6"/>
  <c r="E69" i="6" s="1"/>
  <c r="F73" i="6"/>
  <c r="F72" i="6" s="1"/>
  <c r="E73" i="6"/>
  <c r="E72" i="6" s="1"/>
  <c r="F77" i="6"/>
  <c r="F76" i="6" s="1"/>
  <c r="E77" i="6"/>
  <c r="E76" i="6" s="1"/>
  <c r="F80" i="6"/>
  <c r="F79" i="6" s="1"/>
  <c r="E80" i="6"/>
  <c r="E79" i="6" s="1"/>
  <c r="F84" i="6"/>
  <c r="E84" i="6"/>
  <c r="F86" i="6"/>
  <c r="E86" i="6"/>
  <c r="E83" i="6" s="1"/>
  <c r="F89" i="6"/>
  <c r="E89" i="6"/>
  <c r="F91" i="6"/>
  <c r="E91" i="6"/>
  <c r="E95" i="6"/>
  <c r="F95" i="6"/>
  <c r="E97" i="6"/>
  <c r="F97" i="6"/>
  <c r="E100" i="6"/>
  <c r="E99" i="6" s="1"/>
  <c r="F100" i="6"/>
  <c r="F99" i="6" s="1"/>
  <c r="F112" i="6"/>
  <c r="F111" i="6" s="1"/>
  <c r="F110" i="6" s="1"/>
  <c r="F115" i="6"/>
  <c r="F114" i="6" s="1"/>
  <c r="E119" i="6"/>
  <c r="E118" i="6" s="1"/>
  <c r="F119" i="6"/>
  <c r="F118" i="6" s="1"/>
  <c r="E123" i="6"/>
  <c r="E122" i="6" s="1"/>
  <c r="F123" i="6"/>
  <c r="F122" i="6" s="1"/>
  <c r="F127" i="6"/>
  <c r="F126" i="6" s="1"/>
  <c r="E112" i="6"/>
  <c r="E111" i="6" s="1"/>
  <c r="E110" i="6" s="1"/>
  <c r="E131" i="6"/>
  <c r="E130" i="6" s="1"/>
  <c r="F131" i="6"/>
  <c r="F130" i="6" s="1"/>
  <c r="E135" i="6"/>
  <c r="E134" i="6" s="1"/>
  <c r="E108" i="6" s="1"/>
  <c r="F135" i="6"/>
  <c r="F134" i="6" s="1"/>
  <c r="F108" i="6" s="1"/>
  <c r="D71" i="6"/>
  <c r="F36" i="6" l="1"/>
  <c r="E36" i="6"/>
  <c r="F88" i="6"/>
  <c r="E88" i="6"/>
  <c r="F83" i="6"/>
  <c r="F94" i="6"/>
  <c r="E94" i="6"/>
  <c r="F30" i="6"/>
  <c r="F25" i="6"/>
  <c r="F63" i="6"/>
  <c r="F58" i="6"/>
  <c r="F52" i="6"/>
  <c r="F47" i="6"/>
  <c r="F41" i="6"/>
  <c r="F14" i="6"/>
  <c r="E63" i="6"/>
  <c r="E58" i="6"/>
  <c r="E52" i="6"/>
  <c r="E47" i="6"/>
  <c r="E41" i="6"/>
  <c r="F12" i="6"/>
  <c r="E19" i="6"/>
  <c r="F13" i="6"/>
  <c r="F109" i="6"/>
  <c r="F107" i="6" s="1"/>
  <c r="E12" i="6"/>
  <c r="F11" i="6"/>
  <c r="F19" i="6"/>
  <c r="E14" i="6"/>
  <c r="E13" i="6" s="1"/>
  <c r="E33" i="6"/>
  <c r="E28" i="6"/>
  <c r="E127" i="6"/>
  <c r="E126" i="6" s="1"/>
  <c r="E109" i="6" s="1"/>
  <c r="E107" i="6" s="1"/>
  <c r="E31" i="6"/>
  <c r="E30" i="6" s="1"/>
  <c r="E26" i="6"/>
  <c r="D92" i="6"/>
  <c r="D90" i="6"/>
  <c r="D87" i="6"/>
  <c r="D85" i="6"/>
  <c r="D78" i="6"/>
  <c r="M22" i="7"/>
  <c r="F22" i="7"/>
  <c r="E22" i="7"/>
  <c r="H66" i="7"/>
  <c r="M66" i="7"/>
  <c r="F66" i="7"/>
  <c r="E66" i="7"/>
  <c r="I66" i="7" s="1"/>
  <c r="D67" i="7"/>
  <c r="G61" i="7"/>
  <c r="F61" i="7"/>
  <c r="E61" i="7"/>
  <c r="I61" i="7" s="1"/>
  <c r="H61" i="7"/>
  <c r="D62" i="7"/>
  <c r="M61" i="7" l="1"/>
  <c r="L61" i="7"/>
  <c r="D66" i="7"/>
  <c r="J66" i="7" s="1"/>
  <c r="J67" i="7"/>
  <c r="D61" i="7"/>
  <c r="J61" i="7" s="1"/>
  <c r="J62" i="7"/>
  <c r="F10" i="6"/>
  <c r="E25" i="6"/>
  <c r="L32" i="10"/>
  <c r="L41" i="10"/>
  <c r="M49" i="5"/>
  <c r="M48" i="10"/>
  <c r="M45" i="10"/>
  <c r="M43" i="10"/>
  <c r="M39" i="10"/>
  <c r="M36" i="10"/>
  <c r="M34" i="10"/>
  <c r="M27" i="10"/>
  <c r="M25" i="10"/>
  <c r="M30" i="10"/>
  <c r="M74" i="5"/>
  <c r="M72" i="5"/>
  <c r="M71" i="5"/>
  <c r="M84" i="5"/>
  <c r="E11" i="6" l="1"/>
  <c r="E10" i="6" s="1"/>
  <c r="M56" i="4"/>
  <c r="K48" i="4" l="1"/>
  <c r="M47" i="4" l="1"/>
  <c r="M46" i="4" s="1"/>
  <c r="G46" i="4"/>
  <c r="M71" i="4"/>
  <c r="M70" i="4" s="1"/>
  <c r="M69" i="4" s="1"/>
  <c r="M72" i="4"/>
  <c r="M67" i="4"/>
  <c r="M62" i="4"/>
  <c r="M61" i="4"/>
  <c r="M55" i="4"/>
  <c r="M54" i="4"/>
  <c r="M53" i="4"/>
  <c r="M49" i="4"/>
  <c r="M44" i="4"/>
  <c r="M41" i="4"/>
  <c r="M40" i="4"/>
  <c r="M36" i="4"/>
  <c r="M33" i="4"/>
  <c r="M31" i="4"/>
  <c r="M30" i="4"/>
  <c r="K41" i="2" l="1"/>
  <c r="H41" i="2"/>
  <c r="G41" i="2"/>
  <c r="F41" i="2"/>
  <c r="K48" i="2"/>
  <c r="H48" i="2"/>
  <c r="G48" i="2"/>
  <c r="H398" i="2"/>
  <c r="E356" i="2"/>
  <c r="M53" i="2" l="1"/>
  <c r="M48" i="2"/>
  <c r="M45" i="2"/>
  <c r="M41" i="2"/>
  <c r="M40" i="2"/>
  <c r="K21" i="10"/>
  <c r="E21" i="10"/>
  <c r="F21" i="10"/>
  <c r="G21" i="10"/>
  <c r="K18" i="10"/>
  <c r="E18" i="10"/>
  <c r="F18" i="10"/>
  <c r="G18" i="10"/>
  <c r="H18" i="10"/>
  <c r="K16" i="10"/>
  <c r="E16" i="10"/>
  <c r="F16" i="10"/>
  <c r="G16" i="10"/>
  <c r="H16" i="10"/>
  <c r="H21" i="10"/>
  <c r="I48" i="10"/>
  <c r="I47" i="10" s="1"/>
  <c r="I46" i="10" s="1"/>
  <c r="D48" i="10"/>
  <c r="D47" i="10" s="1"/>
  <c r="D46" i="10" s="1"/>
  <c r="K47" i="10"/>
  <c r="K46" i="10" s="1"/>
  <c r="H47" i="10"/>
  <c r="G47" i="10"/>
  <c r="F47" i="10"/>
  <c r="E47" i="10"/>
  <c r="H46" i="10"/>
  <c r="G46" i="10"/>
  <c r="F46" i="10"/>
  <c r="E46" i="10"/>
  <c r="I45" i="10"/>
  <c r="I44" i="10" s="1"/>
  <c r="D45" i="10"/>
  <c r="D44" i="10" s="1"/>
  <c r="K44" i="10"/>
  <c r="H44" i="10"/>
  <c r="G44" i="10"/>
  <c r="F44" i="10"/>
  <c r="E44" i="10"/>
  <c r="E41" i="10" s="1"/>
  <c r="E13" i="10" s="1"/>
  <c r="I43" i="10"/>
  <c r="D43" i="10"/>
  <c r="K42" i="10"/>
  <c r="H42" i="10"/>
  <c r="G42" i="10"/>
  <c r="F42" i="10"/>
  <c r="E42" i="10"/>
  <c r="D42" i="10"/>
  <c r="K41" i="10"/>
  <c r="H41" i="10"/>
  <c r="H13" i="10" s="1"/>
  <c r="L39" i="10"/>
  <c r="I39" i="10"/>
  <c r="I38" i="10" s="1"/>
  <c r="D39" i="10"/>
  <c r="D38" i="10" s="1"/>
  <c r="D37" i="10" s="1"/>
  <c r="K38" i="10"/>
  <c r="K37" i="10" s="1"/>
  <c r="H38" i="10"/>
  <c r="G38" i="10"/>
  <c r="G37" i="10" s="1"/>
  <c r="F38" i="10"/>
  <c r="E38" i="10"/>
  <c r="H37" i="10"/>
  <c r="F37" i="10"/>
  <c r="E37" i="10"/>
  <c r="I36" i="10"/>
  <c r="I35" i="10" s="1"/>
  <c r="D36" i="10"/>
  <c r="K35" i="10"/>
  <c r="H35" i="10"/>
  <c r="G35" i="10"/>
  <c r="F35" i="10"/>
  <c r="E35" i="10"/>
  <c r="I34" i="10"/>
  <c r="I33" i="10" s="1"/>
  <c r="D34" i="10"/>
  <c r="K33" i="10"/>
  <c r="H33" i="10"/>
  <c r="H32" i="10" s="1"/>
  <c r="G33" i="10"/>
  <c r="G32" i="10" s="1"/>
  <c r="F33" i="10"/>
  <c r="E33" i="10"/>
  <c r="K32" i="10"/>
  <c r="F32" i="10"/>
  <c r="E32" i="10"/>
  <c r="M88" i="9"/>
  <c r="I88" i="9"/>
  <c r="D88" i="9"/>
  <c r="D84" i="9" s="1"/>
  <c r="K87" i="9"/>
  <c r="H87" i="9"/>
  <c r="H86" i="9" s="1"/>
  <c r="H80" i="9" s="1"/>
  <c r="H79" i="9" s="1"/>
  <c r="G87" i="9"/>
  <c r="F87" i="9"/>
  <c r="F86" i="9" s="1"/>
  <c r="F80" i="9" s="1"/>
  <c r="E87" i="9"/>
  <c r="E86" i="9" s="1"/>
  <c r="E80" i="9" s="1"/>
  <c r="D87" i="9"/>
  <c r="D86" i="9" s="1"/>
  <c r="D80" i="9" s="1"/>
  <c r="G86" i="9"/>
  <c r="G80" i="9" s="1"/>
  <c r="F84" i="9"/>
  <c r="F83" i="9" s="1"/>
  <c r="F82" i="9" s="1"/>
  <c r="E84" i="9"/>
  <c r="E83" i="9" s="1"/>
  <c r="E82" i="9" s="1"/>
  <c r="G83" i="9"/>
  <c r="G82" i="9" s="1"/>
  <c r="F81" i="9"/>
  <c r="E81" i="9"/>
  <c r="M128" i="6"/>
  <c r="M12" i="5"/>
  <c r="K20" i="5"/>
  <c r="E20" i="5"/>
  <c r="F20" i="5"/>
  <c r="G20" i="5"/>
  <c r="H20" i="5"/>
  <c r="E17" i="5"/>
  <c r="F17" i="5"/>
  <c r="G17" i="5"/>
  <c r="H17" i="5"/>
  <c r="M45" i="5"/>
  <c r="M42" i="5"/>
  <c r="M38" i="5"/>
  <c r="M35" i="5"/>
  <c r="M33" i="5"/>
  <c r="I45" i="5"/>
  <c r="I20" i="5" s="1"/>
  <c r="D45" i="5"/>
  <c r="D44" i="5" s="1"/>
  <c r="D43" i="5" s="1"/>
  <c r="K44" i="5"/>
  <c r="I44" i="5" s="1"/>
  <c r="H44" i="5"/>
  <c r="G44" i="5"/>
  <c r="H43" i="5"/>
  <c r="G43" i="5"/>
  <c r="L42" i="5"/>
  <c r="I42" i="5"/>
  <c r="D42" i="5"/>
  <c r="D41" i="5" s="1"/>
  <c r="D40" i="5" s="1"/>
  <c r="K41" i="5"/>
  <c r="I41" i="5" s="1"/>
  <c r="H41" i="5"/>
  <c r="H40" i="5" s="1"/>
  <c r="G41" i="5"/>
  <c r="G40" i="5" s="1"/>
  <c r="I87" i="9" l="1"/>
  <c r="I86" i="9" s="1"/>
  <c r="I84" i="9"/>
  <c r="J84" i="9" s="1"/>
  <c r="J41" i="5"/>
  <c r="F41" i="10"/>
  <c r="F13" i="10" s="1"/>
  <c r="J38" i="10"/>
  <c r="I37" i="10"/>
  <c r="J37" i="10" s="1"/>
  <c r="M16" i="10"/>
  <c r="J44" i="5"/>
  <c r="M41" i="5"/>
  <c r="M20" i="5"/>
  <c r="D83" i="9"/>
  <c r="D82" i="9" s="1"/>
  <c r="H83" i="9"/>
  <c r="H82" i="9" s="1"/>
  <c r="K83" i="9"/>
  <c r="K82" i="9" s="1"/>
  <c r="M82" i="9" s="1"/>
  <c r="K43" i="5"/>
  <c r="M44" i="5"/>
  <c r="G79" i="9"/>
  <c r="M87" i="9"/>
  <c r="E79" i="9"/>
  <c r="F79" i="9"/>
  <c r="M17" i="5"/>
  <c r="M32" i="10"/>
  <c r="M33" i="10"/>
  <c r="M35" i="10"/>
  <c r="M37" i="10"/>
  <c r="M38" i="10"/>
  <c r="M21" i="10"/>
  <c r="I32" i="10"/>
  <c r="J32" i="10" s="1"/>
  <c r="M42" i="10"/>
  <c r="M44" i="10"/>
  <c r="M46" i="10"/>
  <c r="M47" i="10"/>
  <c r="M18" i="10"/>
  <c r="K40" i="5"/>
  <c r="G41" i="10"/>
  <c r="D35" i="10"/>
  <c r="J36" i="10"/>
  <c r="D33" i="10"/>
  <c r="D32" i="10" s="1"/>
  <c r="J44" i="10"/>
  <c r="D41" i="10"/>
  <c r="D13" i="10" s="1"/>
  <c r="J45" i="10"/>
  <c r="I42" i="10"/>
  <c r="I41" i="10" s="1"/>
  <c r="J35" i="10"/>
  <c r="J34" i="10"/>
  <c r="J33" i="10"/>
  <c r="J46" i="10"/>
  <c r="J47" i="10"/>
  <c r="J48" i="10"/>
  <c r="J39" i="10"/>
  <c r="L37" i="10"/>
  <c r="L38" i="10"/>
  <c r="J86" i="9"/>
  <c r="K86" i="9"/>
  <c r="M86" i="9" s="1"/>
  <c r="J87" i="9"/>
  <c r="J88" i="9"/>
  <c r="M81" i="9"/>
  <c r="M84" i="9"/>
  <c r="J45" i="5"/>
  <c r="J42" i="5"/>
  <c r="L40" i="5"/>
  <c r="L41" i="5"/>
  <c r="D58" i="2"/>
  <c r="K80" i="9" l="1"/>
  <c r="M80" i="9" s="1"/>
  <c r="I80" i="9"/>
  <c r="J80" i="9" s="1"/>
  <c r="M83" i="9"/>
  <c r="J41" i="10"/>
  <c r="I13" i="10"/>
  <c r="M41" i="10"/>
  <c r="M13" i="10" s="1"/>
  <c r="G13" i="10"/>
  <c r="D79" i="9"/>
  <c r="I83" i="9"/>
  <c r="I82" i="9" s="1"/>
  <c r="J82" i="9" s="1"/>
  <c r="M43" i="5"/>
  <c r="I43" i="5"/>
  <c r="J43" i="5" s="1"/>
  <c r="I40" i="5"/>
  <c r="J40" i="5" s="1"/>
  <c r="M40" i="5"/>
  <c r="K20" i="3"/>
  <c r="F20" i="3"/>
  <c r="G20" i="3"/>
  <c r="K15" i="3"/>
  <c r="G15" i="3"/>
  <c r="H94" i="3"/>
  <c r="H86" i="3"/>
  <c r="D88" i="3"/>
  <c r="D87" i="3"/>
  <c r="M95" i="3"/>
  <c r="L95" i="3"/>
  <c r="I95" i="3"/>
  <c r="K94" i="3"/>
  <c r="G94" i="3"/>
  <c r="F94" i="3"/>
  <c r="E94" i="3"/>
  <c r="M93" i="3"/>
  <c r="L93" i="3"/>
  <c r="K92" i="3"/>
  <c r="K91" i="3" s="1"/>
  <c r="H92" i="3"/>
  <c r="G92" i="3"/>
  <c r="F92" i="3"/>
  <c r="F91" i="3" s="1"/>
  <c r="E92" i="3"/>
  <c r="M90" i="3"/>
  <c r="L90" i="3"/>
  <c r="D90" i="3"/>
  <c r="K89" i="3"/>
  <c r="H89" i="3"/>
  <c r="G89" i="3"/>
  <c r="F89" i="3"/>
  <c r="E89" i="3"/>
  <c r="D89" i="3"/>
  <c r="M88" i="3"/>
  <c r="L88" i="3"/>
  <c r="M87" i="3"/>
  <c r="L87" i="3"/>
  <c r="K86" i="3"/>
  <c r="G86" i="3"/>
  <c r="F86" i="3"/>
  <c r="E86" i="3"/>
  <c r="E85" i="3" s="1"/>
  <c r="K85" i="3"/>
  <c r="G85" i="3"/>
  <c r="M164" i="3"/>
  <c r="M159" i="3"/>
  <c r="M156" i="3"/>
  <c r="M152" i="3"/>
  <c r="M150" i="3"/>
  <c r="M147" i="3"/>
  <c r="M145" i="3"/>
  <c r="M144" i="3"/>
  <c r="M140" i="3"/>
  <c r="M138" i="3"/>
  <c r="M135" i="3"/>
  <c r="M133" i="3"/>
  <c r="M119" i="3"/>
  <c r="M117" i="3"/>
  <c r="M114" i="3"/>
  <c r="M112" i="3"/>
  <c r="M111" i="3"/>
  <c r="M107" i="3"/>
  <c r="M105" i="3"/>
  <c r="M102" i="3"/>
  <c r="M100" i="3"/>
  <c r="M99" i="3"/>
  <c r="M83" i="3"/>
  <c r="M81" i="3"/>
  <c r="M78" i="3"/>
  <c r="M76" i="3"/>
  <c r="M75" i="3"/>
  <c r="M71" i="3"/>
  <c r="M69" i="3"/>
  <c r="M66" i="3"/>
  <c r="M64" i="3"/>
  <c r="M59" i="3"/>
  <c r="M57" i="3"/>
  <c r="M54" i="3"/>
  <c r="M52" i="3"/>
  <c r="M47" i="3"/>
  <c r="M42" i="3"/>
  <c r="M33" i="3"/>
  <c r="K79" i="9" l="1"/>
  <c r="M79" i="9" s="1"/>
  <c r="I79" i="9"/>
  <c r="J79" i="9" s="1"/>
  <c r="J83" i="9"/>
  <c r="E91" i="3"/>
  <c r="G91" i="3"/>
  <c r="M91" i="3" s="1"/>
  <c r="F85" i="3"/>
  <c r="J88" i="3"/>
  <c r="D86" i="3"/>
  <c r="H91" i="3"/>
  <c r="D85" i="3"/>
  <c r="H85" i="3"/>
  <c r="M94" i="3"/>
  <c r="M92" i="3"/>
  <c r="M89" i="3"/>
  <c r="M85" i="3"/>
  <c r="M86" i="3"/>
  <c r="J87" i="3"/>
  <c r="I86" i="3"/>
  <c r="J90" i="3"/>
  <c r="I89" i="3"/>
  <c r="J89" i="3" s="1"/>
  <c r="I92" i="3"/>
  <c r="I94" i="3"/>
  <c r="L85" i="3"/>
  <c r="L86" i="3"/>
  <c r="L89" i="3"/>
  <c r="L91" i="3"/>
  <c r="L92" i="3"/>
  <c r="D93" i="3"/>
  <c r="D92" i="3" s="1"/>
  <c r="L94" i="3"/>
  <c r="D95" i="3"/>
  <c r="D94" i="3" s="1"/>
  <c r="D91" i="3" l="1"/>
  <c r="J94" i="3"/>
  <c r="I91" i="3"/>
  <c r="J91" i="3" s="1"/>
  <c r="J92" i="3"/>
  <c r="I85" i="3"/>
  <c r="J85" i="3" s="1"/>
  <c r="J86" i="3"/>
  <c r="J95" i="3"/>
  <c r="J93" i="3"/>
  <c r="K50" i="2" l="1"/>
  <c r="F50" i="2"/>
  <c r="G50" i="2"/>
  <c r="H50" i="2"/>
  <c r="G36" i="1" s="1"/>
  <c r="E50" i="2"/>
  <c r="D246" i="2"/>
  <c r="F36" i="1" l="1"/>
  <c r="M32" i="2"/>
  <c r="M50" i="2"/>
  <c r="J36" i="1"/>
  <c r="K55" i="5"/>
  <c r="H55" i="5"/>
  <c r="F55" i="5"/>
  <c r="G55" i="5"/>
  <c r="M22" i="3"/>
  <c r="M20" i="3"/>
  <c r="M55" i="5" l="1"/>
  <c r="L36" i="1"/>
  <c r="M17" i="3"/>
  <c r="M15" i="3"/>
  <c r="L22" i="3"/>
  <c r="K27" i="8" l="1"/>
  <c r="L55" i="9" l="1"/>
  <c r="F434" i="2" l="1"/>
  <c r="K434" i="2"/>
  <c r="K381" i="2"/>
  <c r="I79" i="2"/>
  <c r="M414" i="2"/>
  <c r="M422" i="2"/>
  <c r="M423" i="2"/>
  <c r="M424" i="2"/>
  <c r="M426" i="2"/>
  <c r="M427" i="2"/>
  <c r="M425" i="2" l="1"/>
  <c r="M418" i="2"/>
  <c r="M420" i="2"/>
  <c r="M417" i="2"/>
  <c r="M412" i="2"/>
  <c r="M421" i="2"/>
  <c r="M415" i="2"/>
  <c r="M413" i="2"/>
  <c r="G434" i="2"/>
  <c r="M434" i="2" l="1"/>
  <c r="M416" i="2"/>
  <c r="M411" i="2"/>
  <c r="K74" i="3"/>
  <c r="L59" i="7" l="1"/>
  <c r="D293" i="2" l="1"/>
  <c r="I251" i="2" l="1"/>
  <c r="D251" i="2"/>
  <c r="K250" i="2"/>
  <c r="H250" i="2"/>
  <c r="G250" i="2"/>
  <c r="F250" i="2"/>
  <c r="E250" i="2"/>
  <c r="E249" i="2" s="1"/>
  <c r="M250" i="2" l="1"/>
  <c r="I50" i="2"/>
  <c r="H36" i="1" s="1"/>
  <c r="I250" i="2"/>
  <c r="D250" i="2"/>
  <c r="D50" i="2"/>
  <c r="J251" i="2"/>
  <c r="C36" i="1" l="1"/>
  <c r="D32" i="2"/>
  <c r="I36" i="1"/>
  <c r="J250" i="2"/>
  <c r="J50" i="2"/>
  <c r="D204" i="8"/>
  <c r="D203" i="8"/>
  <c r="H202" i="8"/>
  <c r="G202" i="8"/>
  <c r="D200" i="8"/>
  <c r="H199" i="8"/>
  <c r="G199" i="8"/>
  <c r="H198" i="8"/>
  <c r="D197" i="8"/>
  <c r="H195" i="8"/>
  <c r="G195" i="8"/>
  <c r="E195" i="8"/>
  <c r="D194" i="8"/>
  <c r="H192" i="8"/>
  <c r="G192" i="8"/>
  <c r="E199" i="8" l="1"/>
  <c r="E202" i="8"/>
  <c r="G198" i="8"/>
  <c r="D195" i="8"/>
  <c r="D202" i="8"/>
  <c r="D199" i="8"/>
  <c r="G191" i="8"/>
  <c r="D192" i="8"/>
  <c r="E192" i="8"/>
  <c r="E191" i="8" s="1"/>
  <c r="H191" i="8"/>
  <c r="E198" i="8" l="1"/>
  <c r="D198" i="8"/>
  <c r="D191" i="8"/>
  <c r="D84" i="6" l="1"/>
  <c r="L43" i="8" l="1"/>
  <c r="L47" i="6"/>
  <c r="L45" i="4"/>
  <c r="L47" i="3"/>
  <c r="L47" i="7"/>
  <c r="E10" i="4" l="1"/>
  <c r="F10" i="4"/>
  <c r="L83" i="3" l="1"/>
  <c r="L81" i="3"/>
  <c r="D41" i="7" l="1"/>
  <c r="D43" i="7"/>
  <c r="K163" i="3" l="1"/>
  <c r="K155" i="3"/>
  <c r="K158" i="3"/>
  <c r="K160" i="3" l="1"/>
  <c r="K154" i="3"/>
  <c r="M76" i="4" l="1"/>
  <c r="M14" i="4" s="1"/>
  <c r="M66" i="4"/>
  <c r="L74" i="6" l="1"/>
  <c r="L71" i="6"/>
  <c r="I81" i="6" l="1"/>
  <c r="M168" i="3"/>
  <c r="M180" i="3"/>
  <c r="M181" i="3"/>
  <c r="M186" i="3"/>
  <c r="M192" i="3"/>
  <c r="M193" i="3"/>
  <c r="M198" i="3"/>
  <c r="I448" i="2"/>
  <c r="I390" i="2"/>
  <c r="K267" i="2"/>
  <c r="M75" i="2"/>
  <c r="M82" i="2"/>
  <c r="M122" i="2"/>
  <c r="M137" i="2"/>
  <c r="M324" i="2"/>
  <c r="M325" i="2"/>
  <c r="M326" i="2"/>
  <c r="M327" i="2"/>
  <c r="M328" i="2"/>
  <c r="M329" i="2"/>
  <c r="M330" i="2"/>
  <c r="M331" i="2"/>
  <c r="M332" i="2"/>
  <c r="M360" i="2"/>
  <c r="M361" i="2"/>
  <c r="M362" i="2"/>
  <c r="M363" i="2"/>
  <c r="M364" i="2"/>
  <c r="M365" i="2"/>
  <c r="M366" i="2"/>
  <c r="M367" i="2"/>
  <c r="M368" i="2"/>
  <c r="M60" i="2"/>
  <c r="M66" i="2"/>
  <c r="L520" i="2"/>
  <c r="I519" i="2"/>
  <c r="K519" i="2"/>
  <c r="G519" i="2"/>
  <c r="G518" i="2" s="1"/>
  <c r="F519" i="2"/>
  <c r="F518" i="2" s="1"/>
  <c r="E519" i="2"/>
  <c r="E518" i="2" s="1"/>
  <c r="I504" i="2"/>
  <c r="I500" i="2"/>
  <c r="G499" i="2"/>
  <c r="M499" i="2" s="1"/>
  <c r="F436" i="2"/>
  <c r="G436" i="2"/>
  <c r="M436" i="2" s="1"/>
  <c r="H436" i="2"/>
  <c r="F441" i="2"/>
  <c r="G441" i="2"/>
  <c r="M441" i="2" s="1"/>
  <c r="H441" i="2"/>
  <c r="L501" i="2"/>
  <c r="L504" i="2"/>
  <c r="D504" i="2"/>
  <c r="K503" i="2"/>
  <c r="H503" i="2"/>
  <c r="H502" i="2" s="1"/>
  <c r="G503" i="2"/>
  <c r="F503" i="2"/>
  <c r="F502" i="2" s="1"/>
  <c r="E503" i="2"/>
  <c r="G502" i="2"/>
  <c r="E502" i="2"/>
  <c r="I501" i="2"/>
  <c r="D501" i="2"/>
  <c r="K518" i="2" l="1"/>
  <c r="M518" i="2" s="1"/>
  <c r="M519" i="2"/>
  <c r="K502" i="2"/>
  <c r="M502" i="2" s="1"/>
  <c r="M503" i="2"/>
  <c r="I499" i="2"/>
  <c r="J501" i="2"/>
  <c r="I460" i="2"/>
  <c r="E441" i="2"/>
  <c r="E459" i="2"/>
  <c r="E458" i="2" s="1"/>
  <c r="J504" i="2"/>
  <c r="D520" i="2"/>
  <c r="D519" i="2" s="1"/>
  <c r="D518" i="2" s="1"/>
  <c r="H519" i="2"/>
  <c r="H518" i="2" s="1"/>
  <c r="L502" i="2"/>
  <c r="I518" i="2"/>
  <c r="J520" i="2"/>
  <c r="L518" i="2"/>
  <c r="L519" i="2"/>
  <c r="D503" i="2"/>
  <c r="L503" i="2"/>
  <c r="I503" i="2"/>
  <c r="F60" i="5"/>
  <c r="K54" i="5"/>
  <c r="E54" i="5"/>
  <c r="F54" i="5"/>
  <c r="G54" i="5"/>
  <c r="H54" i="5"/>
  <c r="L84" i="5"/>
  <c r="I84" i="5"/>
  <c r="D84" i="5"/>
  <c r="K83" i="5"/>
  <c r="H83" i="5"/>
  <c r="G83" i="5"/>
  <c r="G82" i="5" s="1"/>
  <c r="F83" i="5"/>
  <c r="E83" i="5"/>
  <c r="D83" i="5"/>
  <c r="H82" i="5"/>
  <c r="F82" i="5"/>
  <c r="E82" i="5"/>
  <c r="D82" i="5"/>
  <c r="L25" i="10"/>
  <c r="L27" i="10"/>
  <c r="L30" i="10"/>
  <c r="M54" i="5" l="1"/>
  <c r="M83" i="5"/>
  <c r="J519" i="2"/>
  <c r="K82" i="5"/>
  <c r="M82" i="5" s="1"/>
  <c r="L54" i="5"/>
  <c r="J518" i="2"/>
  <c r="I83" i="5"/>
  <c r="J83" i="5" s="1"/>
  <c r="D502" i="2"/>
  <c r="J503" i="2"/>
  <c r="I502" i="2"/>
  <c r="J84" i="5"/>
  <c r="L83" i="5"/>
  <c r="F65" i="4"/>
  <c r="G65" i="4"/>
  <c r="M65" i="4" s="1"/>
  <c r="E65" i="4"/>
  <c r="F70" i="4"/>
  <c r="G70" i="4"/>
  <c r="E70" i="4"/>
  <c r="F48" i="4"/>
  <c r="E48" i="4"/>
  <c r="E45" i="4" s="1"/>
  <c r="E43" i="4"/>
  <c r="G43" i="4"/>
  <c r="F43" i="4"/>
  <c r="E39" i="4"/>
  <c r="I82" i="5" l="1"/>
  <c r="J82" i="5" s="1"/>
  <c r="L82" i="5"/>
  <c r="F38" i="4"/>
  <c r="D66" i="4"/>
  <c r="G38" i="4"/>
  <c r="E38" i="4"/>
  <c r="J502" i="2"/>
  <c r="D71" i="4"/>
  <c r="H65" i="4"/>
  <c r="L72" i="4" l="1"/>
  <c r="L67" i="4"/>
  <c r="L62" i="4"/>
  <c r="L58" i="4"/>
  <c r="L56" i="4"/>
  <c r="L54" i="4"/>
  <c r="L53" i="4"/>
  <c r="L200" i="3"/>
  <c r="L195" i="3"/>
  <c r="L188" i="3"/>
  <c r="L183" i="3"/>
  <c r="L176" i="3"/>
  <c r="L174" i="3"/>
  <c r="L171" i="3"/>
  <c r="L169" i="3"/>
  <c r="L59" i="3"/>
  <c r="L57" i="3"/>
  <c r="L54" i="3"/>
  <c r="L52" i="3"/>
  <c r="O33" i="8" l="1"/>
  <c r="O36" i="8"/>
  <c r="O43" i="8"/>
  <c r="O46" i="8"/>
  <c r="O47" i="8"/>
  <c r="O50" i="8"/>
  <c r="O57" i="8"/>
  <c r="O60" i="8"/>
  <c r="O63" i="8"/>
  <c r="O70" i="8"/>
  <c r="O73" i="8"/>
  <c r="O92" i="8"/>
  <c r="O95" i="8"/>
  <c r="O108" i="8"/>
  <c r="O119" i="8"/>
  <c r="O130" i="8"/>
  <c r="O144" i="8"/>
  <c r="O148" i="8"/>
  <c r="O150" i="8"/>
  <c r="O153" i="8"/>
  <c r="O155" i="8"/>
  <c r="O156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190" i="8"/>
  <c r="O205" i="8"/>
  <c r="O211" i="8"/>
  <c r="O216" i="8"/>
  <c r="O219" i="8"/>
  <c r="O220" i="8"/>
  <c r="O229" i="8"/>
  <c r="O231" i="8"/>
  <c r="O235" i="8"/>
  <c r="O251" i="8"/>
  <c r="O242" i="8"/>
  <c r="I55" i="9"/>
  <c r="M22" i="9"/>
  <c r="I66" i="9"/>
  <c r="I65" i="9" s="1"/>
  <c r="I64" i="9" s="1"/>
  <c r="I13" i="9" s="1"/>
  <c r="I69" i="9"/>
  <c r="D69" i="9"/>
  <c r="F68" i="9"/>
  <c r="E68" i="9"/>
  <c r="F67" i="9"/>
  <c r="E67" i="9"/>
  <c r="I27" i="9"/>
  <c r="I62" i="9"/>
  <c r="I58" i="9"/>
  <c r="I57" i="9" s="1"/>
  <c r="I51" i="9"/>
  <c r="I50" i="9" s="1"/>
  <c r="I30" i="9"/>
  <c r="F29" i="9"/>
  <c r="F28" i="9" s="1"/>
  <c r="F26" i="9"/>
  <c r="F24" i="9"/>
  <c r="I250" i="8"/>
  <c r="O250" i="8" s="1"/>
  <c r="I249" i="8"/>
  <c r="O249" i="8" s="1"/>
  <c r="I246" i="8"/>
  <c r="O246" i="8" s="1"/>
  <c r="I245" i="8"/>
  <c r="O245" i="8" s="1"/>
  <c r="H227" i="8"/>
  <c r="H226" i="8" s="1"/>
  <c r="G227" i="8"/>
  <c r="G226" i="8" s="1"/>
  <c r="F227" i="8"/>
  <c r="F226" i="8" s="1"/>
  <c r="H224" i="8"/>
  <c r="G224" i="8"/>
  <c r="H222" i="8"/>
  <c r="G222" i="8"/>
  <c r="I228" i="8"/>
  <c r="O228" i="8" s="1"/>
  <c r="O225" i="8"/>
  <c r="O223" i="8"/>
  <c r="I218" i="8"/>
  <c r="O218" i="8" s="1"/>
  <c r="I215" i="8"/>
  <c r="O215" i="8" s="1"/>
  <c r="I212" i="8"/>
  <c r="O212" i="8" s="1"/>
  <c r="I209" i="8"/>
  <c r="O209" i="8" s="1"/>
  <c r="O208" i="8"/>
  <c r="O201" i="8"/>
  <c r="O197" i="8"/>
  <c r="H132" i="8"/>
  <c r="I142" i="8"/>
  <c r="O142" i="8" s="1"/>
  <c r="I135" i="8"/>
  <c r="O135" i="8" s="1"/>
  <c r="O124" i="8"/>
  <c r="H141" i="8"/>
  <c r="G141" i="8"/>
  <c r="H138" i="8"/>
  <c r="G138" i="8"/>
  <c r="H134" i="8"/>
  <c r="G134" i="8"/>
  <c r="G132" i="8"/>
  <c r="L122" i="8"/>
  <c r="I129" i="8"/>
  <c r="O129" i="8" s="1"/>
  <c r="O127" i="8"/>
  <c r="O122" i="8"/>
  <c r="H128" i="8"/>
  <c r="G128" i="8"/>
  <c r="H126" i="8"/>
  <c r="G126" i="8"/>
  <c r="G123" i="8"/>
  <c r="H121" i="8"/>
  <c r="G121" i="8"/>
  <c r="I118" i="8"/>
  <c r="O118" i="8" s="1"/>
  <c r="I116" i="8"/>
  <c r="O116" i="8" s="1"/>
  <c r="O113" i="8"/>
  <c r="O111" i="8"/>
  <c r="H112" i="8"/>
  <c r="H117" i="8"/>
  <c r="G117" i="8"/>
  <c r="H115" i="8"/>
  <c r="G115" i="8"/>
  <c r="G112" i="8"/>
  <c r="D111" i="8"/>
  <c r="G110" i="8"/>
  <c r="I107" i="8"/>
  <c r="O107" i="8" s="1"/>
  <c r="I106" i="8"/>
  <c r="O106" i="8" s="1"/>
  <c r="I104" i="8"/>
  <c r="O104" i="8" s="1"/>
  <c r="I100" i="8"/>
  <c r="O100" i="8" s="1"/>
  <c r="I99" i="8"/>
  <c r="O99" i="8" s="1"/>
  <c r="I97" i="8"/>
  <c r="O97" i="8" s="1"/>
  <c r="F105" i="8"/>
  <c r="E105" i="8"/>
  <c r="F102" i="8"/>
  <c r="F101" i="8" s="1"/>
  <c r="E102" i="8"/>
  <c r="F98" i="8"/>
  <c r="E98" i="8"/>
  <c r="I96" i="8"/>
  <c r="O96" i="8" s="1"/>
  <c r="F94" i="8"/>
  <c r="E94" i="8"/>
  <c r="K32" i="8"/>
  <c r="F32" i="8"/>
  <c r="G32" i="8"/>
  <c r="M32" i="8" s="1"/>
  <c r="H32" i="8"/>
  <c r="K28" i="8"/>
  <c r="E28" i="8"/>
  <c r="D34" i="1" s="1"/>
  <c r="F28" i="8"/>
  <c r="E34" i="1" s="1"/>
  <c r="G28" i="8"/>
  <c r="H28" i="8"/>
  <c r="G34" i="1" s="1"/>
  <c r="K88" i="8"/>
  <c r="K84" i="8"/>
  <c r="I91" i="8"/>
  <c r="O91" i="8" s="1"/>
  <c r="I87" i="8"/>
  <c r="O87" i="8" s="1"/>
  <c r="G84" i="8"/>
  <c r="D87" i="8"/>
  <c r="D91" i="8"/>
  <c r="G88" i="8"/>
  <c r="I76" i="8"/>
  <c r="O76" i="8" s="1"/>
  <c r="H88" i="8"/>
  <c r="F88" i="8"/>
  <c r="H84" i="8"/>
  <c r="F84" i="8"/>
  <c r="O81" i="8"/>
  <c r="G75" i="8"/>
  <c r="O77" i="8"/>
  <c r="H75" i="8"/>
  <c r="F75" i="8"/>
  <c r="O72" i="8"/>
  <c r="O69" i="8"/>
  <c r="O66" i="8"/>
  <c r="O64" i="8"/>
  <c r="G58" i="8"/>
  <c r="G55" i="8"/>
  <c r="G52" i="8"/>
  <c r="G49" i="8"/>
  <c r="O42" i="8"/>
  <c r="G131" i="8" l="1"/>
  <c r="O196" i="8"/>
  <c r="I19" i="8"/>
  <c r="F83" i="8"/>
  <c r="G54" i="8"/>
  <c r="G48" i="8"/>
  <c r="I21" i="9"/>
  <c r="I18" i="9"/>
  <c r="I16" i="9"/>
  <c r="G120" i="8"/>
  <c r="G74" i="8"/>
  <c r="G114" i="8"/>
  <c r="H221" i="8"/>
  <c r="M84" i="8"/>
  <c r="M88" i="8"/>
  <c r="F34" i="1"/>
  <c r="M28" i="8"/>
  <c r="H74" i="8"/>
  <c r="G137" i="8"/>
  <c r="J69" i="9"/>
  <c r="G83" i="8"/>
  <c r="D68" i="9"/>
  <c r="G109" i="8"/>
  <c r="F93" i="8"/>
  <c r="E93" i="8"/>
  <c r="G125" i="8"/>
  <c r="E101" i="8"/>
  <c r="D67" i="9"/>
  <c r="F23" i="9"/>
  <c r="H110" i="8"/>
  <c r="H109" i="8" s="1"/>
  <c r="I103" i="8"/>
  <c r="O103" i="8" s="1"/>
  <c r="H125" i="8"/>
  <c r="F74" i="8"/>
  <c r="O85" i="8"/>
  <c r="O89" i="8"/>
  <c r="H114" i="8"/>
  <c r="H120" i="8"/>
  <c r="G221" i="8"/>
  <c r="H137" i="8"/>
  <c r="H131" i="8"/>
  <c r="H83" i="8"/>
  <c r="J87" i="8"/>
  <c r="J91" i="8"/>
  <c r="L20" i="3"/>
  <c r="L17" i="3"/>
  <c r="M157" i="3"/>
  <c r="M162" i="3"/>
  <c r="L156" i="3"/>
  <c r="L157" i="3"/>
  <c r="L159" i="3"/>
  <c r="L162" i="3"/>
  <c r="L164" i="3"/>
  <c r="L152" i="3"/>
  <c r="L147" i="3"/>
  <c r="L144" i="3"/>
  <c r="M132" i="3"/>
  <c r="L132" i="3"/>
  <c r="L133" i="3"/>
  <c r="L135" i="3"/>
  <c r="L138" i="3"/>
  <c r="L140" i="3"/>
  <c r="H116" i="3"/>
  <c r="H110" i="3"/>
  <c r="F118" i="3"/>
  <c r="F116" i="3"/>
  <c r="E118" i="3"/>
  <c r="E116" i="3"/>
  <c r="F15" i="3"/>
  <c r="E112" i="3"/>
  <c r="I112" i="3" s="1"/>
  <c r="E110" i="3"/>
  <c r="G110" i="3"/>
  <c r="K110" i="3"/>
  <c r="D111" i="3"/>
  <c r="L111" i="3"/>
  <c r="L112" i="3"/>
  <c r="G113" i="3"/>
  <c r="H113" i="3"/>
  <c r="K113" i="3"/>
  <c r="D114" i="3"/>
  <c r="D113" i="3" s="1"/>
  <c r="I113" i="3"/>
  <c r="L114" i="3"/>
  <c r="G116" i="3"/>
  <c r="K116" i="3"/>
  <c r="I116" i="3"/>
  <c r="L117" i="3"/>
  <c r="G118" i="3"/>
  <c r="H118" i="3"/>
  <c r="K118" i="3"/>
  <c r="D119" i="3"/>
  <c r="D118" i="3" s="1"/>
  <c r="I119" i="3"/>
  <c r="I118" i="3" s="1"/>
  <c r="L119" i="3"/>
  <c r="L78" i="3"/>
  <c r="L76" i="3"/>
  <c r="L75" i="3"/>
  <c r="L42" i="3"/>
  <c r="K46" i="3"/>
  <c r="K41" i="3"/>
  <c r="I32" i="3"/>
  <c r="I31" i="3" s="1"/>
  <c r="E109" i="3" l="1"/>
  <c r="M116" i="3"/>
  <c r="M110" i="3"/>
  <c r="L118" i="3"/>
  <c r="M118" i="3"/>
  <c r="K43" i="3"/>
  <c r="L113" i="3"/>
  <c r="M113" i="3"/>
  <c r="M14" i="3"/>
  <c r="K38" i="3"/>
  <c r="D112" i="3"/>
  <c r="L14" i="3"/>
  <c r="E115" i="3"/>
  <c r="F115" i="3"/>
  <c r="L116" i="3"/>
  <c r="L15" i="3"/>
  <c r="J113" i="3"/>
  <c r="K115" i="3"/>
  <c r="G115" i="3"/>
  <c r="I110" i="3"/>
  <c r="I109" i="3" s="1"/>
  <c r="K109" i="3"/>
  <c r="G109" i="3"/>
  <c r="D117" i="3"/>
  <c r="D116" i="3" s="1"/>
  <c r="J116" i="3" s="1"/>
  <c r="H115" i="3"/>
  <c r="L110" i="3"/>
  <c r="H109" i="3"/>
  <c r="J112" i="3"/>
  <c r="J118" i="3"/>
  <c r="I115" i="3"/>
  <c r="D110" i="3"/>
  <c r="D109" i="3" s="1"/>
  <c r="J119" i="3"/>
  <c r="J114" i="3"/>
  <c r="J111" i="3"/>
  <c r="L268" i="2"/>
  <c r="E216" i="2"/>
  <c r="E213" i="2"/>
  <c r="E65" i="2"/>
  <c r="L180" i="2"/>
  <c r="L192" i="2"/>
  <c r="L204" i="2"/>
  <c r="L206" i="2"/>
  <c r="L209" i="2"/>
  <c r="L225" i="2"/>
  <c r="L227" i="2"/>
  <c r="L230" i="2"/>
  <c r="L234" i="2"/>
  <c r="L246" i="2"/>
  <c r="L248" i="2"/>
  <c r="L253" i="2"/>
  <c r="L257" i="2"/>
  <c r="L259" i="2"/>
  <c r="L262" i="2"/>
  <c r="L266" i="2"/>
  <c r="L293" i="2"/>
  <c r="L302" i="2"/>
  <c r="L305" i="2"/>
  <c r="L324" i="2"/>
  <c r="L325" i="2"/>
  <c r="L326" i="2"/>
  <c r="L327" i="2"/>
  <c r="L328" i="2"/>
  <c r="L329" i="2"/>
  <c r="L330" i="2"/>
  <c r="L331" i="2"/>
  <c r="L332" i="2"/>
  <c r="L360" i="2"/>
  <c r="L361" i="2"/>
  <c r="L362" i="2"/>
  <c r="L363" i="2"/>
  <c r="L364" i="2"/>
  <c r="L365" i="2"/>
  <c r="L366" i="2"/>
  <c r="L367" i="2"/>
  <c r="L368" i="2"/>
  <c r="L390" i="2"/>
  <c r="L393" i="2"/>
  <c r="L397" i="2"/>
  <c r="L400" i="2"/>
  <c r="L468" i="2"/>
  <c r="L488" i="2"/>
  <c r="L496" i="2"/>
  <c r="L500" i="2"/>
  <c r="L508" i="2"/>
  <c r="L516" i="2"/>
  <c r="L57" i="2"/>
  <c r="L60" i="2"/>
  <c r="L66" i="2"/>
  <c r="L75" i="2"/>
  <c r="L82" i="2"/>
  <c r="L87" i="2"/>
  <c r="L90" i="2"/>
  <c r="L96" i="2"/>
  <c r="L101" i="2"/>
  <c r="L105" i="2"/>
  <c r="L112" i="2"/>
  <c r="L121" i="2"/>
  <c r="L128" i="2"/>
  <c r="L133" i="2"/>
  <c r="L136" i="2"/>
  <c r="L142" i="2"/>
  <c r="L147" i="2"/>
  <c r="L148" i="2"/>
  <c r="L150" i="2"/>
  <c r="M115" i="3" l="1"/>
  <c r="M109" i="3"/>
  <c r="D248" i="2"/>
  <c r="L115" i="3"/>
  <c r="D115" i="3"/>
  <c r="J115" i="3" s="1"/>
  <c r="L109" i="3"/>
  <c r="J117" i="3"/>
  <c r="J109" i="3"/>
  <c r="J110" i="3"/>
  <c r="J360" i="2"/>
  <c r="J363" i="2"/>
  <c r="J365" i="2"/>
  <c r="J368" i="2"/>
  <c r="J324" i="2"/>
  <c r="J325" i="2"/>
  <c r="J326" i="2"/>
  <c r="J327" i="2"/>
  <c r="J328" i="2"/>
  <c r="J329" i="2"/>
  <c r="J330" i="2"/>
  <c r="J331" i="2"/>
  <c r="J332" i="2"/>
  <c r="J60" i="2"/>
  <c r="J66" i="2"/>
  <c r="I118" i="2"/>
  <c r="I240" i="2"/>
  <c r="I347" i="2"/>
  <c r="I447" i="2"/>
  <c r="I64" i="2"/>
  <c r="I132" i="6" l="1"/>
  <c r="I116" i="6"/>
  <c r="I78" i="6"/>
  <c r="I74" i="6"/>
  <c r="I71" i="6"/>
  <c r="I67" i="6"/>
  <c r="I65" i="6"/>
  <c r="I62" i="6"/>
  <c r="I60" i="6"/>
  <c r="I45" i="6"/>
  <c r="I43" i="6"/>
  <c r="I40" i="6"/>
  <c r="I38" i="6"/>
  <c r="M132" i="6"/>
  <c r="M124" i="6"/>
  <c r="M120" i="6"/>
  <c r="M116" i="6"/>
  <c r="M101" i="6"/>
  <c r="M98" i="6"/>
  <c r="M96" i="6"/>
  <c r="M81" i="6"/>
  <c r="M78" i="6"/>
  <c r="M74" i="6"/>
  <c r="M71" i="6"/>
  <c r="M67" i="6"/>
  <c r="M65" i="6"/>
  <c r="M62" i="6"/>
  <c r="M60" i="6"/>
  <c r="M56" i="6"/>
  <c r="M54" i="6"/>
  <c r="M51" i="6"/>
  <c r="M49" i="6"/>
  <c r="M45" i="6"/>
  <c r="M43" i="6"/>
  <c r="M40" i="6"/>
  <c r="M38" i="6"/>
  <c r="M32" i="6"/>
  <c r="M27" i="6"/>
  <c r="I63" i="5"/>
  <c r="I62" i="5" s="1"/>
  <c r="I61" i="5"/>
  <c r="I60" i="5"/>
  <c r="I57" i="5"/>
  <c r="I56" i="5" s="1"/>
  <c r="I54" i="5"/>
  <c r="I53" i="5"/>
  <c r="I26" i="5"/>
  <c r="I17" i="5" s="1"/>
  <c r="D65" i="7"/>
  <c r="H11" i="7"/>
  <c r="F11" i="7"/>
  <c r="I26" i="7"/>
  <c r="M77" i="7"/>
  <c r="M31" i="7"/>
  <c r="M28" i="7"/>
  <c r="I91" i="7"/>
  <c r="I89" i="7"/>
  <c r="I86" i="7"/>
  <c r="I84" i="7"/>
  <c r="I83" i="7"/>
  <c r="I77" i="7"/>
  <c r="I72" i="7"/>
  <c r="I65" i="7"/>
  <c r="I59" i="7"/>
  <c r="I55" i="7"/>
  <c r="I22" i="7" s="1"/>
  <c r="I50" i="7"/>
  <c r="I47" i="7"/>
  <c r="L36" i="7"/>
  <c r="E11" i="7"/>
  <c r="K112" i="6"/>
  <c r="J58" i="1" s="1"/>
  <c r="G112" i="6"/>
  <c r="L136" i="6"/>
  <c r="H112" i="6"/>
  <c r="G15" i="5"/>
  <c r="M15" i="5" s="1"/>
  <c r="H15" i="5"/>
  <c r="L38" i="5"/>
  <c r="K37" i="5"/>
  <c r="H37" i="5"/>
  <c r="H36" i="5" s="1"/>
  <c r="G37" i="5"/>
  <c r="G36" i="5"/>
  <c r="L35" i="5"/>
  <c r="K34" i="5"/>
  <c r="I34" i="5" s="1"/>
  <c r="H34" i="5"/>
  <c r="G34" i="5"/>
  <c r="L33" i="5"/>
  <c r="K32" i="5"/>
  <c r="I32" i="5" s="1"/>
  <c r="H32" i="5"/>
  <c r="G32" i="5"/>
  <c r="L32" i="5" s="1"/>
  <c r="D38" i="5"/>
  <c r="D37" i="5" s="1"/>
  <c r="D36" i="5" s="1"/>
  <c r="D35" i="5"/>
  <c r="D33" i="5"/>
  <c r="D32" i="5" s="1"/>
  <c r="D34" i="5" l="1"/>
  <c r="J35" i="5"/>
  <c r="G31" i="5"/>
  <c r="K36" i="5"/>
  <c r="I36" i="5" s="1"/>
  <c r="I37" i="5"/>
  <c r="J32" i="5"/>
  <c r="H31" i="5"/>
  <c r="M37" i="5"/>
  <c r="M112" i="6"/>
  <c r="M15" i="7"/>
  <c r="M11" i="7"/>
  <c r="M32" i="5"/>
  <c r="J34" i="5"/>
  <c r="M34" i="5"/>
  <c r="K31" i="5"/>
  <c r="I36" i="7"/>
  <c r="I15" i="7" s="1"/>
  <c r="I59" i="5"/>
  <c r="I58" i="5" s="1"/>
  <c r="J36" i="5"/>
  <c r="J37" i="5"/>
  <c r="D136" i="6"/>
  <c r="L34" i="5"/>
  <c r="J33" i="5"/>
  <c r="L36" i="5"/>
  <c r="L37" i="5"/>
  <c r="J38" i="5"/>
  <c r="D31" i="5"/>
  <c r="I11" i="7" l="1"/>
  <c r="M36" i="5"/>
  <c r="M31" i="5"/>
  <c r="I31" i="5"/>
  <c r="J31" i="5" s="1"/>
  <c r="L31" i="5"/>
  <c r="L27" i="9"/>
  <c r="L25" i="9"/>
  <c r="L30" i="9"/>
  <c r="L43" i="9"/>
  <c r="L45" i="9"/>
  <c r="L48" i="9"/>
  <c r="L52" i="9"/>
  <c r="L59" i="9"/>
  <c r="L62" i="9"/>
  <c r="K241" i="8" l="1"/>
  <c r="K240" i="8"/>
  <c r="K237" i="8"/>
  <c r="K236" i="8"/>
  <c r="J235" i="8"/>
  <c r="L235" i="8"/>
  <c r="J144" i="8"/>
  <c r="J148" i="8"/>
  <c r="J150" i="8"/>
  <c r="J155" i="8"/>
  <c r="J156" i="8"/>
  <c r="J157" i="8"/>
  <c r="J158" i="8"/>
  <c r="J161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L36" i="8"/>
  <c r="L63" i="8"/>
  <c r="L70" i="8"/>
  <c r="L81" i="8"/>
  <c r="L85" i="8"/>
  <c r="L89" i="8"/>
  <c r="L111" i="8"/>
  <c r="L113" i="8"/>
  <c r="L116" i="8"/>
  <c r="L124" i="8"/>
  <c r="L135" i="8"/>
  <c r="L139" i="8"/>
  <c r="L140" i="8"/>
  <c r="L142" i="8"/>
  <c r="L144" i="8"/>
  <c r="L147" i="8"/>
  <c r="L148" i="8"/>
  <c r="L150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3" i="8"/>
  <c r="L194" i="8"/>
  <c r="L197" i="8"/>
  <c r="L200" i="8"/>
  <c r="L203" i="8"/>
  <c r="L216" i="8"/>
  <c r="L228" i="8"/>
  <c r="L38" i="7"/>
  <c r="L41" i="7"/>
  <c r="L53" i="7"/>
  <c r="L55" i="7"/>
  <c r="L77" i="7"/>
  <c r="L86" i="7"/>
  <c r="L27" i="6"/>
  <c r="L32" i="6"/>
  <c r="L78" i="6"/>
  <c r="L81" i="6"/>
  <c r="L85" i="6"/>
  <c r="L87" i="6"/>
  <c r="L90" i="6"/>
  <c r="L92" i="6"/>
  <c r="L96" i="6"/>
  <c r="L98" i="6"/>
  <c r="L101" i="6"/>
  <c r="L128" i="6"/>
  <c r="L71" i="5"/>
  <c r="L72" i="5"/>
  <c r="L74" i="5"/>
  <c r="L77" i="5"/>
  <c r="L78" i="5"/>
  <c r="L80" i="5"/>
  <c r="L26" i="5"/>
  <c r="L29" i="5"/>
  <c r="I496" i="2" l="1"/>
  <c r="J23" i="3" l="1"/>
  <c r="J24" i="3"/>
  <c r="J25" i="3"/>
  <c r="J26" i="3"/>
  <c r="J27" i="3"/>
  <c r="J28" i="3"/>
  <c r="J29" i="3"/>
  <c r="J51" i="3"/>
  <c r="J63" i="3"/>
  <c r="J181" i="3"/>
  <c r="J193" i="3"/>
  <c r="L23" i="3"/>
  <c r="L24" i="3"/>
  <c r="L25" i="3"/>
  <c r="L26" i="3"/>
  <c r="L27" i="3"/>
  <c r="L28" i="3"/>
  <c r="L29" i="3"/>
  <c r="L40" i="3"/>
  <c r="L51" i="3"/>
  <c r="L168" i="3"/>
  <c r="L180" i="3"/>
  <c r="L181" i="3"/>
  <c r="L186" i="3"/>
  <c r="L192" i="3"/>
  <c r="L193" i="3"/>
  <c r="L198" i="3"/>
  <c r="K88" i="7" l="1"/>
  <c r="I209" i="2" l="1"/>
  <c r="F265" i="2" l="1"/>
  <c r="F261" i="2"/>
  <c r="F260" i="2" s="1"/>
  <c r="F258" i="2"/>
  <c r="F256" i="2"/>
  <c r="F252" i="2"/>
  <c r="F249" i="2" s="1"/>
  <c r="F247" i="2"/>
  <c r="F245" i="2"/>
  <c r="F241" i="2"/>
  <c r="F239" i="2"/>
  <c r="F236" i="2"/>
  <c r="F233" i="2"/>
  <c r="F229" i="2"/>
  <c r="F228" i="2" s="1"/>
  <c r="F226" i="2"/>
  <c r="F224" i="2"/>
  <c r="F208" i="2"/>
  <c r="F207" i="2" s="1"/>
  <c r="F205" i="2"/>
  <c r="F203" i="2"/>
  <c r="F199" i="2"/>
  <c r="F197" i="2"/>
  <c r="F194" i="2"/>
  <c r="F191" i="2"/>
  <c r="F187" i="2"/>
  <c r="F185" i="2"/>
  <c r="F182" i="2"/>
  <c r="F179" i="2"/>
  <c r="F163" i="2"/>
  <c r="F162" i="2" s="1"/>
  <c r="F160" i="2"/>
  <c r="F158" i="2"/>
  <c r="F154" i="2"/>
  <c r="F151" i="2" s="1"/>
  <c r="F149" i="2"/>
  <c r="F146" i="2"/>
  <c r="F141" i="2"/>
  <c r="F139" i="2"/>
  <c r="F135" i="2"/>
  <c r="F132" i="2"/>
  <c r="F127" i="2"/>
  <c r="F124" i="2"/>
  <c r="F120" i="2"/>
  <c r="F116" i="2"/>
  <c r="F111" i="2"/>
  <c r="F104" i="2"/>
  <c r="F95" i="2"/>
  <c r="F93" i="2"/>
  <c r="F89" i="2"/>
  <c r="F86" i="2"/>
  <c r="F81" i="2"/>
  <c r="F78" i="2"/>
  <c r="F70" i="2"/>
  <c r="F65" i="2"/>
  <c r="F63" i="2"/>
  <c r="F59" i="2"/>
  <c r="F56" i="2"/>
  <c r="F337" i="2"/>
  <c r="F157" i="2" l="1"/>
  <c r="F74" i="2"/>
  <c r="F108" i="2"/>
  <c r="F48" i="2"/>
  <c r="F138" i="2"/>
  <c r="F238" i="2"/>
  <c r="F202" i="2"/>
  <c r="F223" i="2"/>
  <c r="F178" i="2"/>
  <c r="F184" i="2"/>
  <c r="F196" i="2"/>
  <c r="F232" i="2"/>
  <c r="F255" i="2"/>
  <c r="F131" i="2"/>
  <c r="F123" i="2"/>
  <c r="F115" i="2"/>
  <c r="F69" i="2"/>
  <c r="F62" i="2"/>
  <c r="F77" i="2"/>
  <c r="F85" i="2"/>
  <c r="F92" i="2"/>
  <c r="F55" i="2"/>
  <c r="F100" i="2"/>
  <c r="F99" i="2" s="1"/>
  <c r="F145" i="2"/>
  <c r="F190" i="2"/>
  <c r="F244" i="2"/>
  <c r="F107" i="2"/>
  <c r="L133" i="8"/>
  <c r="E78" i="2" l="1"/>
  <c r="E143" i="8"/>
  <c r="I143" i="8" s="1"/>
  <c r="O143" i="8" s="1"/>
  <c r="D142" i="8"/>
  <c r="D28" i="8"/>
  <c r="C34" i="1" s="1"/>
  <c r="O193" i="8"/>
  <c r="D140" i="8"/>
  <c r="O139" i="8"/>
  <c r="E136" i="8"/>
  <c r="D135" i="8"/>
  <c r="O133" i="8"/>
  <c r="D101" i="6"/>
  <c r="D100" i="6" s="1"/>
  <c r="D99" i="6" s="1"/>
  <c r="H100" i="6"/>
  <c r="G100" i="6"/>
  <c r="G99" i="6" s="1"/>
  <c r="H99" i="6"/>
  <c r="D98" i="6"/>
  <c r="D97" i="6" s="1"/>
  <c r="H97" i="6"/>
  <c r="G97" i="6"/>
  <c r="D96" i="6"/>
  <c r="D95" i="6" s="1"/>
  <c r="G95" i="6"/>
  <c r="H94" i="6"/>
  <c r="D91" i="6"/>
  <c r="H91" i="6"/>
  <c r="G91" i="6"/>
  <c r="D89" i="6"/>
  <c r="H89" i="6"/>
  <c r="G89" i="6"/>
  <c r="J87" i="6"/>
  <c r="H86" i="6"/>
  <c r="G86" i="6"/>
  <c r="H84" i="6"/>
  <c r="G84" i="6"/>
  <c r="H83" i="6"/>
  <c r="H80" i="6"/>
  <c r="H79" i="6" s="1"/>
  <c r="G80" i="6"/>
  <c r="G79" i="6" s="1"/>
  <c r="H77" i="6"/>
  <c r="G77" i="6"/>
  <c r="H76" i="6"/>
  <c r="G76" i="6"/>
  <c r="H73" i="6"/>
  <c r="H72" i="6" s="1"/>
  <c r="D74" i="6"/>
  <c r="D73" i="6" s="1"/>
  <c r="D72" i="6" s="1"/>
  <c r="G73" i="6"/>
  <c r="G72" i="6" s="1"/>
  <c r="H70" i="6"/>
  <c r="H69" i="6" s="1"/>
  <c r="G70" i="6"/>
  <c r="G69" i="6" s="1"/>
  <c r="D67" i="6"/>
  <c r="D66" i="6" s="1"/>
  <c r="H66" i="6"/>
  <c r="G66" i="6"/>
  <c r="D65" i="6"/>
  <c r="D64" i="6" s="1"/>
  <c r="H64" i="6"/>
  <c r="G64" i="6"/>
  <c r="D62" i="6"/>
  <c r="D61" i="6" s="1"/>
  <c r="H61" i="6"/>
  <c r="G61" i="6"/>
  <c r="D60" i="6"/>
  <c r="D59" i="6" s="1"/>
  <c r="H59" i="6"/>
  <c r="G59" i="6"/>
  <c r="H55" i="6"/>
  <c r="G55" i="6"/>
  <c r="I54" i="6"/>
  <c r="H53" i="6"/>
  <c r="G53" i="6"/>
  <c r="I51" i="6"/>
  <c r="D51" i="6"/>
  <c r="D50" i="6" s="1"/>
  <c r="H50" i="6"/>
  <c r="G50" i="6"/>
  <c r="H48" i="6"/>
  <c r="H47" i="6" s="1"/>
  <c r="G48" i="6"/>
  <c r="D45" i="6"/>
  <c r="D44" i="6" s="1"/>
  <c r="H44" i="6"/>
  <c r="G44" i="6"/>
  <c r="D43" i="6"/>
  <c r="D42" i="6" s="1"/>
  <c r="H42" i="6"/>
  <c r="G42" i="6"/>
  <c r="D40" i="6"/>
  <c r="D39" i="6" s="1"/>
  <c r="H39" i="6"/>
  <c r="G39" i="6"/>
  <c r="D38" i="6"/>
  <c r="D37" i="6" s="1"/>
  <c r="H37" i="6"/>
  <c r="G37" i="6"/>
  <c r="H33" i="6"/>
  <c r="I34" i="6"/>
  <c r="G33" i="6"/>
  <c r="I32" i="6"/>
  <c r="H31" i="6"/>
  <c r="G31" i="6"/>
  <c r="H28" i="6"/>
  <c r="I29" i="6"/>
  <c r="G28" i="6"/>
  <c r="I27" i="6"/>
  <c r="H26" i="6"/>
  <c r="G26" i="6"/>
  <c r="J74" i="1"/>
  <c r="J65" i="1"/>
  <c r="I136" i="8" l="1"/>
  <c r="O136" i="8" s="1"/>
  <c r="E21" i="8"/>
  <c r="G36" i="6"/>
  <c r="H88" i="6"/>
  <c r="H36" i="6"/>
  <c r="G58" i="6"/>
  <c r="G63" i="6"/>
  <c r="D63" i="6"/>
  <c r="D88" i="6"/>
  <c r="L29" i="6"/>
  <c r="M29" i="6"/>
  <c r="L34" i="6"/>
  <c r="M34" i="6"/>
  <c r="D70" i="6"/>
  <c r="D69" i="6" s="1"/>
  <c r="J71" i="6"/>
  <c r="D49" i="6"/>
  <c r="D48" i="6" s="1"/>
  <c r="I49" i="6"/>
  <c r="D56" i="6"/>
  <c r="D55" i="6" s="1"/>
  <c r="I56" i="6"/>
  <c r="G94" i="6"/>
  <c r="D136" i="8"/>
  <c r="O194" i="8"/>
  <c r="O203" i="8"/>
  <c r="O200" i="8"/>
  <c r="E32" i="8"/>
  <c r="O204" i="8"/>
  <c r="D133" i="8"/>
  <c r="D132" i="8" s="1"/>
  <c r="D134" i="8"/>
  <c r="G83" i="6"/>
  <c r="H58" i="6"/>
  <c r="D86" i="6"/>
  <c r="J85" i="6"/>
  <c r="H41" i="6"/>
  <c r="G47" i="6"/>
  <c r="G88" i="6"/>
  <c r="E132" i="8"/>
  <c r="G25" i="6"/>
  <c r="G30" i="6"/>
  <c r="H63" i="6"/>
  <c r="D143" i="8"/>
  <c r="D141" i="8" s="1"/>
  <c r="E141" i="8"/>
  <c r="D54" i="6"/>
  <c r="D53" i="6" s="1"/>
  <c r="D52" i="6" s="1"/>
  <c r="D58" i="6"/>
  <c r="D29" i="6"/>
  <c r="D28" i="6" s="1"/>
  <c r="D34" i="6"/>
  <c r="D33" i="6" s="1"/>
  <c r="G52" i="6"/>
  <c r="H52" i="6"/>
  <c r="D81" i="6"/>
  <c r="D80" i="6" s="1"/>
  <c r="D79" i="6" s="1"/>
  <c r="D94" i="6"/>
  <c r="D139" i="8"/>
  <c r="D138" i="8" s="1"/>
  <c r="D36" i="6"/>
  <c r="H25" i="6"/>
  <c r="H30" i="6"/>
  <c r="D27" i="6"/>
  <c r="D26" i="6" s="1"/>
  <c r="D25" i="6" s="1"/>
  <c r="D32" i="6"/>
  <c r="D31" i="6" s="1"/>
  <c r="G41" i="6"/>
  <c r="D77" i="6"/>
  <c r="D76" i="6" s="1"/>
  <c r="E134" i="8"/>
  <c r="E138" i="8"/>
  <c r="E137" i="8" s="1"/>
  <c r="D41" i="6"/>
  <c r="D47" i="6"/>
  <c r="I176" i="3"/>
  <c r="H20" i="3"/>
  <c r="D12" i="6" l="1"/>
  <c r="D30" i="6"/>
  <c r="E131" i="8"/>
  <c r="D83" i="6"/>
  <c r="D131" i="8"/>
  <c r="D137" i="8"/>
  <c r="J23" i="1"/>
  <c r="D80" i="5"/>
  <c r="D79" i="5" s="1"/>
  <c r="H79" i="5"/>
  <c r="G79" i="5"/>
  <c r="F79" i="5"/>
  <c r="E79" i="5"/>
  <c r="D78" i="5"/>
  <c r="J78" i="5" s="1"/>
  <c r="D77" i="5"/>
  <c r="D60" i="5" s="1"/>
  <c r="H76" i="5"/>
  <c r="H75" i="5" s="1"/>
  <c r="G76" i="5"/>
  <c r="F76" i="5"/>
  <c r="F75" i="5" s="1"/>
  <c r="E76" i="5"/>
  <c r="D74" i="5"/>
  <c r="D73" i="5" s="1"/>
  <c r="H73" i="5"/>
  <c r="G73" i="5"/>
  <c r="F73" i="5"/>
  <c r="E73" i="5"/>
  <c r="D72" i="5"/>
  <c r="D54" i="5" s="1"/>
  <c r="D71" i="5"/>
  <c r="H70" i="5"/>
  <c r="H69" i="5" s="1"/>
  <c r="G70" i="5"/>
  <c r="G69" i="5" s="1"/>
  <c r="F70" i="5"/>
  <c r="F69" i="5" s="1"/>
  <c r="E70" i="5"/>
  <c r="E67" i="5"/>
  <c r="E55" i="5" s="1"/>
  <c r="H66" i="5"/>
  <c r="G66" i="5"/>
  <c r="F66" i="5"/>
  <c r="E66" i="5"/>
  <c r="H65" i="5"/>
  <c r="H50" i="5" s="1"/>
  <c r="G65" i="5"/>
  <c r="G50" i="5" s="1"/>
  <c r="F65" i="5"/>
  <c r="F50" i="5" s="1"/>
  <c r="E65" i="5"/>
  <c r="E50" i="5" s="1"/>
  <c r="H63" i="5"/>
  <c r="H62" i="5" s="1"/>
  <c r="G63" i="5"/>
  <c r="G62" i="5" s="1"/>
  <c r="F63" i="5"/>
  <c r="F62" i="5" s="1"/>
  <c r="E63" i="5"/>
  <c r="E62" i="5" s="1"/>
  <c r="E58" i="5" s="1"/>
  <c r="H61" i="5"/>
  <c r="H59" i="5" s="1"/>
  <c r="G61" i="5"/>
  <c r="F61" i="5"/>
  <c r="E61" i="5"/>
  <c r="D61" i="5"/>
  <c r="G59" i="5"/>
  <c r="F59" i="5"/>
  <c r="E59" i="5"/>
  <c r="H57" i="5"/>
  <c r="H56" i="5" s="1"/>
  <c r="G57" i="5"/>
  <c r="G56" i="5" s="1"/>
  <c r="F57" i="5"/>
  <c r="F56" i="5" s="1"/>
  <c r="E57" i="5"/>
  <c r="E56" i="5" s="1"/>
  <c r="H53" i="5"/>
  <c r="G64" i="1" s="1"/>
  <c r="G53" i="5"/>
  <c r="F64" i="1" s="1"/>
  <c r="F53" i="5"/>
  <c r="E64" i="1" s="1"/>
  <c r="E53" i="5"/>
  <c r="D64" i="1" s="1"/>
  <c r="F52" i="5"/>
  <c r="F51" i="5" s="1"/>
  <c r="D20" i="5"/>
  <c r="H28" i="5"/>
  <c r="G28" i="5"/>
  <c r="G27" i="5" s="1"/>
  <c r="F28" i="5"/>
  <c r="F27" i="5" s="1"/>
  <c r="E28" i="5"/>
  <c r="H27" i="5"/>
  <c r="D17" i="5"/>
  <c r="H25" i="5"/>
  <c r="G25" i="5"/>
  <c r="F25" i="5"/>
  <c r="E25" i="5"/>
  <c r="H23" i="5"/>
  <c r="G23" i="5"/>
  <c r="F23" i="5"/>
  <c r="E23" i="5"/>
  <c r="H19" i="5"/>
  <c r="H18" i="5" s="1"/>
  <c r="G19" i="5"/>
  <c r="G18" i="5" s="1"/>
  <c r="F19" i="5"/>
  <c r="F18" i="5" s="1"/>
  <c r="E19" i="5"/>
  <c r="E18" i="5" s="1"/>
  <c r="H16" i="5"/>
  <c r="F16" i="5"/>
  <c r="E16" i="5"/>
  <c r="G16" i="5"/>
  <c r="H14" i="5"/>
  <c r="H13" i="5" s="1"/>
  <c r="G14" i="5"/>
  <c r="F14" i="5"/>
  <c r="E14" i="5"/>
  <c r="G135" i="6"/>
  <c r="G134" i="6" s="1"/>
  <c r="G108" i="6" s="1"/>
  <c r="D132" i="6"/>
  <c r="G131" i="6"/>
  <c r="G130" i="6" s="1"/>
  <c r="D131" i="6"/>
  <c r="D130" i="6" s="1"/>
  <c r="H130" i="6"/>
  <c r="H127" i="6"/>
  <c r="G127" i="6"/>
  <c r="H126" i="6"/>
  <c r="G126" i="6"/>
  <c r="I124" i="6"/>
  <c r="H123" i="6"/>
  <c r="G123" i="6"/>
  <c r="H122" i="6"/>
  <c r="G122" i="6"/>
  <c r="I120" i="6"/>
  <c r="H119" i="6"/>
  <c r="G119" i="6"/>
  <c r="G118" i="6" s="1"/>
  <c r="H118" i="6"/>
  <c r="D116" i="6"/>
  <c r="D115" i="6" s="1"/>
  <c r="D114" i="6" s="1"/>
  <c r="H115" i="6"/>
  <c r="G115" i="6"/>
  <c r="G114" i="6" s="1"/>
  <c r="H114" i="6"/>
  <c r="G111" i="6"/>
  <c r="G110" i="6" s="1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D16" i="6"/>
  <c r="H15" i="6"/>
  <c r="G15" i="6"/>
  <c r="D15" i="6"/>
  <c r="H12" i="6"/>
  <c r="G12" i="6"/>
  <c r="H11" i="6"/>
  <c r="G11" i="6"/>
  <c r="D91" i="7"/>
  <c r="D90" i="7" s="1"/>
  <c r="H90" i="7"/>
  <c r="G90" i="7"/>
  <c r="F90" i="7"/>
  <c r="E90" i="7"/>
  <c r="D89" i="7"/>
  <c r="D88" i="7" s="1"/>
  <c r="H88" i="7"/>
  <c r="G88" i="7"/>
  <c r="M88" i="7" s="1"/>
  <c r="F88" i="7"/>
  <c r="E88" i="7"/>
  <c r="I88" i="7" s="1"/>
  <c r="D86" i="7"/>
  <c r="D85" i="7" s="1"/>
  <c r="H85" i="7"/>
  <c r="G85" i="7"/>
  <c r="F85" i="7"/>
  <c r="E85" i="7"/>
  <c r="D84" i="7"/>
  <c r="J84" i="7" s="1"/>
  <c r="D83" i="7"/>
  <c r="H82" i="7"/>
  <c r="H81" i="7" s="1"/>
  <c r="G82" i="7"/>
  <c r="M82" i="7" s="1"/>
  <c r="F82" i="7"/>
  <c r="F81" i="7" s="1"/>
  <c r="E82" i="7"/>
  <c r="H78" i="7"/>
  <c r="G78" i="7"/>
  <c r="G75" i="7" s="1"/>
  <c r="F78" i="7"/>
  <c r="F75" i="7" s="1"/>
  <c r="E78" i="7"/>
  <c r="E75" i="7" s="1"/>
  <c r="H76" i="7"/>
  <c r="G76" i="7"/>
  <c r="F76" i="7"/>
  <c r="E76" i="7"/>
  <c r="I17" i="7"/>
  <c r="I16" i="7" s="1"/>
  <c r="H73" i="7"/>
  <c r="G73" i="7"/>
  <c r="F73" i="7"/>
  <c r="H70" i="7"/>
  <c r="H69" i="7" s="1"/>
  <c r="G70" i="7"/>
  <c r="F70" i="7"/>
  <c r="F69" i="7" s="1"/>
  <c r="H64" i="7"/>
  <c r="H63" i="7" s="1"/>
  <c r="G64" i="7"/>
  <c r="L64" i="7" s="1"/>
  <c r="F64" i="7"/>
  <c r="F63" i="7" s="1"/>
  <c r="E64" i="7"/>
  <c r="D64" i="7"/>
  <c r="D63" i="7" s="1"/>
  <c r="D59" i="7"/>
  <c r="D58" i="7" s="1"/>
  <c r="D57" i="7" s="1"/>
  <c r="H58" i="7"/>
  <c r="H57" i="7" s="1"/>
  <c r="G58" i="7"/>
  <c r="F58" i="7"/>
  <c r="F57" i="7" s="1"/>
  <c r="E58" i="7"/>
  <c r="E57" i="7" s="1"/>
  <c r="D55" i="7"/>
  <c r="D54" i="7" s="1"/>
  <c r="H54" i="7"/>
  <c r="H51" i="7" s="1"/>
  <c r="G54" i="7"/>
  <c r="F54" i="7"/>
  <c r="E54" i="7"/>
  <c r="E20" i="7"/>
  <c r="D73" i="1" s="1"/>
  <c r="H52" i="7"/>
  <c r="G52" i="7"/>
  <c r="F52" i="7"/>
  <c r="E52" i="7"/>
  <c r="D50" i="7"/>
  <c r="D49" i="7" s="1"/>
  <c r="H49" i="7"/>
  <c r="G49" i="7"/>
  <c r="G45" i="7" s="1"/>
  <c r="F49" i="7"/>
  <c r="E49" i="7"/>
  <c r="E45" i="7" s="1"/>
  <c r="D47" i="7"/>
  <c r="D46" i="7" s="1"/>
  <c r="H46" i="7"/>
  <c r="G46" i="7"/>
  <c r="M46" i="7" s="1"/>
  <c r="F46" i="7"/>
  <c r="F45" i="7" s="1"/>
  <c r="E46" i="7"/>
  <c r="H45" i="7"/>
  <c r="H42" i="7"/>
  <c r="G42" i="7"/>
  <c r="F42" i="7"/>
  <c r="E42" i="7"/>
  <c r="D40" i="7"/>
  <c r="H40" i="7"/>
  <c r="G40" i="7"/>
  <c r="F40" i="7"/>
  <c r="E40" i="7"/>
  <c r="D38" i="7"/>
  <c r="H37" i="7"/>
  <c r="G37" i="7"/>
  <c r="F37" i="7"/>
  <c r="E37" i="7"/>
  <c r="D36" i="7"/>
  <c r="D35" i="7"/>
  <c r="J35" i="7" s="1"/>
  <c r="H34" i="7"/>
  <c r="G34" i="7"/>
  <c r="F34" i="7"/>
  <c r="E34" i="7"/>
  <c r="D31" i="7"/>
  <c r="D30" i="7" s="1"/>
  <c r="D29" i="7" s="1"/>
  <c r="H30" i="7"/>
  <c r="H29" i="7" s="1"/>
  <c r="G30" i="7"/>
  <c r="F30" i="7"/>
  <c r="F29" i="7" s="1"/>
  <c r="E30" i="7"/>
  <c r="E29" i="7" s="1"/>
  <c r="D28" i="7"/>
  <c r="D17" i="7" s="1"/>
  <c r="H27" i="7"/>
  <c r="G27" i="7"/>
  <c r="M27" i="7" s="1"/>
  <c r="F27" i="7"/>
  <c r="E27" i="7"/>
  <c r="D26" i="7"/>
  <c r="D15" i="7" s="1"/>
  <c r="H25" i="7"/>
  <c r="G25" i="7"/>
  <c r="F25" i="7"/>
  <c r="F24" i="7" s="1"/>
  <c r="E25" i="7"/>
  <c r="H24" i="7"/>
  <c r="H21" i="7"/>
  <c r="G73" i="1"/>
  <c r="G20" i="7"/>
  <c r="F20" i="7"/>
  <c r="E73" i="1" s="1"/>
  <c r="G19" i="7"/>
  <c r="F16" i="7"/>
  <c r="E16" i="7"/>
  <c r="H16" i="7"/>
  <c r="G13" i="7"/>
  <c r="H9" i="7"/>
  <c r="G9" i="7"/>
  <c r="F9" i="7"/>
  <c r="E9" i="7"/>
  <c r="D250" i="8"/>
  <c r="J250" i="8" s="1"/>
  <c r="D249" i="8"/>
  <c r="H248" i="8"/>
  <c r="G248" i="8"/>
  <c r="G247" i="8" s="1"/>
  <c r="H247" i="8"/>
  <c r="D246" i="8"/>
  <c r="J246" i="8" s="1"/>
  <c r="D245" i="8"/>
  <c r="J245" i="8" s="1"/>
  <c r="H244" i="8"/>
  <c r="G244" i="8"/>
  <c r="G243" i="8" s="1"/>
  <c r="H243" i="8"/>
  <c r="H256" i="8"/>
  <c r="G256" i="8"/>
  <c r="F256" i="8"/>
  <c r="E256" i="8"/>
  <c r="H255" i="8"/>
  <c r="G255" i="8"/>
  <c r="F255" i="8"/>
  <c r="E255" i="8"/>
  <c r="O254" i="8"/>
  <c r="H253" i="8"/>
  <c r="G253" i="8"/>
  <c r="F253" i="8"/>
  <c r="H252" i="8"/>
  <c r="G252" i="8"/>
  <c r="F252" i="8"/>
  <c r="H241" i="8"/>
  <c r="M241" i="8"/>
  <c r="F241" i="8"/>
  <c r="E241" i="8"/>
  <c r="H240" i="8"/>
  <c r="G74" i="1" s="1"/>
  <c r="G240" i="8"/>
  <c r="M240" i="8" s="1"/>
  <c r="F240" i="8"/>
  <c r="E74" i="1" s="1"/>
  <c r="E240" i="8"/>
  <c r="H237" i="8"/>
  <c r="G237" i="8"/>
  <c r="M237" i="8" s="1"/>
  <c r="F237" i="8"/>
  <c r="H236" i="8"/>
  <c r="G65" i="1" s="1"/>
  <c r="G236" i="8"/>
  <c r="M236" i="8" s="1"/>
  <c r="F236" i="8"/>
  <c r="E65" i="1" s="1"/>
  <c r="E236" i="8"/>
  <c r="D228" i="8"/>
  <c r="D227" i="8" s="1"/>
  <c r="D226" i="8" s="1"/>
  <c r="E227" i="8"/>
  <c r="E226" i="8" s="1"/>
  <c r="D225" i="8"/>
  <c r="E224" i="8"/>
  <c r="D223" i="8"/>
  <c r="D222" i="8" s="1"/>
  <c r="E222" i="8"/>
  <c r="D219" i="8"/>
  <c r="D218" i="8"/>
  <c r="H217" i="8"/>
  <c r="G217" i="8"/>
  <c r="F217" i="8"/>
  <c r="E217" i="8"/>
  <c r="D216" i="8"/>
  <c r="D215" i="8"/>
  <c r="H214" i="8"/>
  <c r="G214" i="8"/>
  <c r="F214" i="8"/>
  <c r="F213" i="8" s="1"/>
  <c r="E214" i="8"/>
  <c r="H213" i="8"/>
  <c r="D212" i="8"/>
  <c r="D211" i="8"/>
  <c r="D19" i="8" s="1"/>
  <c r="H210" i="8"/>
  <c r="G210" i="8"/>
  <c r="F210" i="8"/>
  <c r="F206" i="8" s="1"/>
  <c r="E210" i="8"/>
  <c r="D209" i="8"/>
  <c r="D208" i="8"/>
  <c r="H207" i="8"/>
  <c r="H206" i="8" s="1"/>
  <c r="G207" i="8"/>
  <c r="E207" i="8"/>
  <c r="D163" i="8"/>
  <c r="D160" i="8"/>
  <c r="J160" i="8" s="1"/>
  <c r="D159" i="8"/>
  <c r="J159" i="8" s="1"/>
  <c r="D154" i="8"/>
  <c r="D152" i="8" s="1"/>
  <c r="D151" i="8" s="1"/>
  <c r="D153" i="8"/>
  <c r="J153" i="8" s="1"/>
  <c r="G152" i="8"/>
  <c r="F152" i="8"/>
  <c r="E152" i="8"/>
  <c r="H151" i="8"/>
  <c r="G151" i="8"/>
  <c r="F151" i="8"/>
  <c r="E151" i="8"/>
  <c r="G149" i="8"/>
  <c r="M149" i="8" s="1"/>
  <c r="F149" i="8"/>
  <c r="E149" i="8"/>
  <c r="D149" i="8"/>
  <c r="J149" i="8" s="1"/>
  <c r="D147" i="8"/>
  <c r="G146" i="8"/>
  <c r="F146" i="8"/>
  <c r="E146" i="8"/>
  <c r="D146" i="8"/>
  <c r="H145" i="8"/>
  <c r="D129" i="8"/>
  <c r="D127" i="8"/>
  <c r="D124" i="8"/>
  <c r="D122" i="8"/>
  <c r="D118" i="8"/>
  <c r="E117" i="8"/>
  <c r="D116" i="8"/>
  <c r="J116" i="8" s="1"/>
  <c r="E114" i="8"/>
  <c r="D113" i="8"/>
  <c r="J113" i="8" s="1"/>
  <c r="E112" i="8"/>
  <c r="J111" i="8"/>
  <c r="E109" i="8"/>
  <c r="D107" i="8"/>
  <c r="D106" i="8"/>
  <c r="H105" i="8"/>
  <c r="G105" i="8"/>
  <c r="D104" i="8"/>
  <c r="D103" i="8"/>
  <c r="H102" i="8"/>
  <c r="H101" i="8" s="1"/>
  <c r="G102" i="8"/>
  <c r="D100" i="8"/>
  <c r="D99" i="8"/>
  <c r="H98" i="8"/>
  <c r="G98" i="8"/>
  <c r="D97" i="8"/>
  <c r="D96" i="8"/>
  <c r="D95" i="8"/>
  <c r="H94" i="8"/>
  <c r="G94" i="8"/>
  <c r="D89" i="8"/>
  <c r="D85" i="8"/>
  <c r="D81" i="8"/>
  <c r="L77" i="8"/>
  <c r="D76" i="8"/>
  <c r="D72" i="8"/>
  <c r="D71" i="8" s="1"/>
  <c r="H71" i="8"/>
  <c r="G71" i="8"/>
  <c r="F71" i="8"/>
  <c r="E71" i="8"/>
  <c r="D70" i="8"/>
  <c r="J70" i="8" s="1"/>
  <c r="D69" i="8"/>
  <c r="D68" i="8" s="1"/>
  <c r="H68" i="8"/>
  <c r="G68" i="8"/>
  <c r="G67" i="8" s="1"/>
  <c r="F68" i="8"/>
  <c r="E68" i="8"/>
  <c r="D66" i="8"/>
  <c r="D65" i="8" s="1"/>
  <c r="H65" i="8"/>
  <c r="G65" i="8"/>
  <c r="F65" i="8"/>
  <c r="E65" i="8"/>
  <c r="D64" i="8"/>
  <c r="D63" i="8"/>
  <c r="J63" i="8" s="1"/>
  <c r="H62" i="8"/>
  <c r="H61" i="8" s="1"/>
  <c r="G62" i="8"/>
  <c r="G61" i="8" s="1"/>
  <c r="F62" i="8"/>
  <c r="F61" i="8" s="1"/>
  <c r="E62" i="8"/>
  <c r="D62" i="8"/>
  <c r="H58" i="8"/>
  <c r="D57" i="8"/>
  <c r="J57" i="8" s="1"/>
  <c r="H55" i="8"/>
  <c r="H52" i="8"/>
  <c r="D50" i="8"/>
  <c r="J50" i="8" s="1"/>
  <c r="H49" i="8"/>
  <c r="D46" i="8"/>
  <c r="J46" i="8" s="1"/>
  <c r="E30" i="8"/>
  <c r="H44" i="8"/>
  <c r="G44" i="8"/>
  <c r="D43" i="8"/>
  <c r="J43" i="8" s="1"/>
  <c r="D42" i="8"/>
  <c r="H41" i="8"/>
  <c r="H40" i="8" s="1"/>
  <c r="G41" i="8"/>
  <c r="E41" i="8"/>
  <c r="H38" i="8"/>
  <c r="G38" i="8"/>
  <c r="E38" i="8"/>
  <c r="D36" i="8"/>
  <c r="J36" i="8" s="1"/>
  <c r="H35" i="8"/>
  <c r="H34" i="8" s="1"/>
  <c r="G35" i="8"/>
  <c r="G34" i="8" s="1"/>
  <c r="H31" i="8"/>
  <c r="G39" i="1" s="1"/>
  <c r="G31" i="8"/>
  <c r="F31" i="8"/>
  <c r="E39" i="1" s="1"/>
  <c r="G30" i="8"/>
  <c r="F30" i="8"/>
  <c r="G27" i="8"/>
  <c r="M27" i="8" s="1"/>
  <c r="F27" i="8"/>
  <c r="E27" i="8"/>
  <c r="H26" i="8"/>
  <c r="G31" i="1" s="1"/>
  <c r="G26" i="8"/>
  <c r="F31" i="1" s="1"/>
  <c r="F26" i="8"/>
  <c r="E31" i="1" s="1"/>
  <c r="E26" i="8"/>
  <c r="D31" i="1" s="1"/>
  <c r="H25" i="8"/>
  <c r="G25" i="8"/>
  <c r="F25" i="8"/>
  <c r="E25" i="8"/>
  <c r="F24" i="8"/>
  <c r="E24" i="8"/>
  <c r="G22" i="8"/>
  <c r="F22" i="8"/>
  <c r="E22" i="8"/>
  <c r="H21" i="8"/>
  <c r="G26" i="1" s="1"/>
  <c r="G21" i="8"/>
  <c r="F21" i="8"/>
  <c r="E26" i="1" s="1"/>
  <c r="D26" i="1"/>
  <c r="G20" i="8"/>
  <c r="F20" i="8"/>
  <c r="E20" i="8"/>
  <c r="H19" i="8"/>
  <c r="G19" i="8"/>
  <c r="M19" i="8" s="1"/>
  <c r="H17" i="8"/>
  <c r="G17" i="8"/>
  <c r="F17" i="8"/>
  <c r="E17" i="8"/>
  <c r="H16" i="8"/>
  <c r="G16" i="8"/>
  <c r="F16" i="8"/>
  <c r="H15" i="8"/>
  <c r="G15" i="8"/>
  <c r="F15" i="8"/>
  <c r="H14" i="8"/>
  <c r="G14" i="8"/>
  <c r="D66" i="9"/>
  <c r="D65" i="9" s="1"/>
  <c r="D64" i="9" s="1"/>
  <c r="D13" i="9" s="1"/>
  <c r="F65" i="9"/>
  <c r="F64" i="9" s="1"/>
  <c r="F13" i="9" s="1"/>
  <c r="E65" i="9"/>
  <c r="E64" i="9" s="1"/>
  <c r="E13" i="9" s="1"/>
  <c r="H13" i="9"/>
  <c r="D62" i="9"/>
  <c r="J62" i="9" s="1"/>
  <c r="H61" i="9"/>
  <c r="G61" i="9"/>
  <c r="G60" i="9" s="1"/>
  <c r="F61" i="9"/>
  <c r="F60" i="9" s="1"/>
  <c r="E61" i="9"/>
  <c r="E60" i="9" s="1"/>
  <c r="H60" i="9"/>
  <c r="D59" i="9"/>
  <c r="H58" i="9"/>
  <c r="G58" i="9"/>
  <c r="F58" i="9"/>
  <c r="F57" i="9" s="1"/>
  <c r="E58" i="9"/>
  <c r="E57" i="9" s="1"/>
  <c r="H57" i="9"/>
  <c r="D55" i="9"/>
  <c r="J55" i="9" s="1"/>
  <c r="H54" i="9"/>
  <c r="G54" i="9"/>
  <c r="F54" i="9"/>
  <c r="E54" i="9"/>
  <c r="H53" i="9"/>
  <c r="G53" i="9"/>
  <c r="F53" i="9"/>
  <c r="E53" i="9"/>
  <c r="D52" i="9"/>
  <c r="H51" i="9"/>
  <c r="G51" i="9"/>
  <c r="F51" i="9"/>
  <c r="F50" i="9" s="1"/>
  <c r="E51" i="9"/>
  <c r="E50" i="9" s="1"/>
  <c r="H50" i="9"/>
  <c r="H21" i="9"/>
  <c r="G47" i="9"/>
  <c r="F47" i="9"/>
  <c r="F46" i="9" s="1"/>
  <c r="D45" i="9"/>
  <c r="H44" i="9"/>
  <c r="G44" i="9"/>
  <c r="F44" i="9"/>
  <c r="D43" i="9"/>
  <c r="H42" i="9"/>
  <c r="G42" i="9"/>
  <c r="G41" i="9" s="1"/>
  <c r="F42" i="9"/>
  <c r="F41" i="9" s="1"/>
  <c r="D30" i="9"/>
  <c r="H29" i="9"/>
  <c r="H28" i="9" s="1"/>
  <c r="G29" i="9"/>
  <c r="E29" i="9"/>
  <c r="E28" i="9" s="1"/>
  <c r="D29" i="9"/>
  <c r="D27" i="9"/>
  <c r="H26" i="9"/>
  <c r="G26" i="9"/>
  <c r="E26" i="9"/>
  <c r="D25" i="9"/>
  <c r="H24" i="9"/>
  <c r="G24" i="9"/>
  <c r="E24" i="9"/>
  <c r="E23" i="9" s="1"/>
  <c r="E20" i="9"/>
  <c r="E19" i="9" s="1"/>
  <c r="F20" i="9"/>
  <c r="F19" i="9" s="1"/>
  <c r="G17" i="9"/>
  <c r="F17" i="9"/>
  <c r="E17" i="9"/>
  <c r="H17" i="9"/>
  <c r="H15" i="9"/>
  <c r="G15" i="9"/>
  <c r="F15" i="9"/>
  <c r="E15" i="9"/>
  <c r="K442" i="2"/>
  <c r="K440" i="2"/>
  <c r="E440" i="2"/>
  <c r="F440" i="2"/>
  <c r="G440" i="2"/>
  <c r="H440" i="2"/>
  <c r="E442" i="2"/>
  <c r="F442" i="2"/>
  <c r="G442" i="2"/>
  <c r="H442" i="2"/>
  <c r="K437" i="2"/>
  <c r="E437" i="2"/>
  <c r="F437" i="2"/>
  <c r="G437" i="2"/>
  <c r="H437" i="2"/>
  <c r="K435" i="2"/>
  <c r="M435" i="2" s="1"/>
  <c r="E435" i="2"/>
  <c r="F435" i="2"/>
  <c r="G435" i="2"/>
  <c r="H435" i="2"/>
  <c r="L512" i="2"/>
  <c r="H511" i="2"/>
  <c r="H510" i="2" s="1"/>
  <c r="F511" i="2"/>
  <c r="F510" i="2" s="1"/>
  <c r="E511" i="2"/>
  <c r="E510" i="2" s="1"/>
  <c r="H507" i="2"/>
  <c r="H506" i="2" s="1"/>
  <c r="I515" i="2"/>
  <c r="D516" i="2"/>
  <c r="K515" i="2"/>
  <c r="H515" i="2"/>
  <c r="H514" i="2" s="1"/>
  <c r="F515" i="2"/>
  <c r="F514" i="2" s="1"/>
  <c r="E515" i="2"/>
  <c r="E514" i="2" s="1"/>
  <c r="I511" i="2"/>
  <c r="K511" i="2"/>
  <c r="D508" i="2"/>
  <c r="D507" i="2" s="1"/>
  <c r="K507" i="2"/>
  <c r="G507" i="2"/>
  <c r="F507" i="2"/>
  <c r="E507" i="2"/>
  <c r="E506" i="2" s="1"/>
  <c r="F506" i="2"/>
  <c r="G498" i="2"/>
  <c r="M498" i="2" s="1"/>
  <c r="F498" i="2"/>
  <c r="E499" i="2"/>
  <c r="E498" i="2" s="1"/>
  <c r="D496" i="2"/>
  <c r="J496" i="2" s="1"/>
  <c r="K495" i="2"/>
  <c r="H495" i="2"/>
  <c r="H494" i="2" s="1"/>
  <c r="G495" i="2"/>
  <c r="F495" i="2"/>
  <c r="F494" i="2" s="1"/>
  <c r="E495" i="2"/>
  <c r="E494" i="2" s="1"/>
  <c r="D495" i="2"/>
  <c r="D494" i="2" s="1"/>
  <c r="G494" i="2"/>
  <c r="D489" i="2"/>
  <c r="D492" i="2"/>
  <c r="D491" i="2" s="1"/>
  <c r="D490" i="2" s="1"/>
  <c r="F486" i="2"/>
  <c r="F479" i="2"/>
  <c r="F478" i="2" s="1"/>
  <c r="E475" i="2"/>
  <c r="E474" i="2" s="1"/>
  <c r="E471" i="2"/>
  <c r="E470" i="2" s="1"/>
  <c r="H434" i="2"/>
  <c r="I468" i="2"/>
  <c r="F459" i="2"/>
  <c r="F458" i="2" s="1"/>
  <c r="F455" i="2"/>
  <c r="F454" i="2" s="1"/>
  <c r="F445" i="2"/>
  <c r="F444" i="2" s="1"/>
  <c r="K450" i="2"/>
  <c r="I391" i="2"/>
  <c r="I389" i="2"/>
  <c r="I388" i="2"/>
  <c r="K387" i="2"/>
  <c r="I397" i="2"/>
  <c r="I381" i="2" s="1"/>
  <c r="G358" i="2"/>
  <c r="G357" i="2" s="1"/>
  <c r="E358" i="2"/>
  <c r="E357" i="2" s="1"/>
  <c r="H41" i="9" l="1"/>
  <c r="D41" i="9" s="1"/>
  <c r="D18" i="9"/>
  <c r="D236" i="8"/>
  <c r="C65" i="1" s="1"/>
  <c r="H232" i="8"/>
  <c r="E33" i="7"/>
  <c r="I34" i="7"/>
  <c r="E39" i="7"/>
  <c r="I46" i="7"/>
  <c r="D45" i="7"/>
  <c r="F51" i="7"/>
  <c r="E51" i="7"/>
  <c r="E87" i="7"/>
  <c r="D87" i="7"/>
  <c r="G69" i="7"/>
  <c r="G58" i="5"/>
  <c r="F58" i="5"/>
  <c r="D63" i="5"/>
  <c r="D62" i="5" s="1"/>
  <c r="D11" i="6"/>
  <c r="M64" i="7"/>
  <c r="G63" i="7"/>
  <c r="I64" i="7"/>
  <c r="E63" i="7"/>
  <c r="G57" i="7"/>
  <c r="M58" i="7"/>
  <c r="G33" i="7"/>
  <c r="F73" i="1"/>
  <c r="M20" i="7"/>
  <c r="E19" i="7"/>
  <c r="M507" i="2"/>
  <c r="M495" i="2"/>
  <c r="M440" i="2"/>
  <c r="M437" i="2"/>
  <c r="M442" i="2"/>
  <c r="F18" i="8"/>
  <c r="E12" i="9"/>
  <c r="E11" i="9" s="1"/>
  <c r="H10" i="6"/>
  <c r="D78" i="7"/>
  <c r="D22" i="7"/>
  <c r="J26" i="7"/>
  <c r="D11" i="7"/>
  <c r="F12" i="9"/>
  <c r="J30" i="9"/>
  <c r="J43" i="9"/>
  <c r="D16" i="9"/>
  <c r="D15" i="9" s="1"/>
  <c r="J45" i="9"/>
  <c r="G46" i="9"/>
  <c r="G13" i="9"/>
  <c r="D60" i="9"/>
  <c r="J76" i="8"/>
  <c r="D14" i="8"/>
  <c r="D240" i="8"/>
  <c r="C74" i="1" s="1"/>
  <c r="G213" i="8"/>
  <c r="G206" i="8"/>
  <c r="F39" i="1"/>
  <c r="F26" i="1"/>
  <c r="G22" i="5"/>
  <c r="G51" i="7"/>
  <c r="H39" i="7"/>
  <c r="H109" i="6"/>
  <c r="H14" i="6"/>
  <c r="H13" i="6" s="1"/>
  <c r="F232" i="8"/>
  <c r="F230" i="8" s="1"/>
  <c r="F87" i="7"/>
  <c r="D500" i="2"/>
  <c r="H499" i="2"/>
  <c r="H498" i="2" s="1"/>
  <c r="J72" i="1"/>
  <c r="D48" i="9"/>
  <c r="J48" i="9" s="1"/>
  <c r="E72" i="1"/>
  <c r="G72" i="1"/>
  <c r="F39" i="7"/>
  <c r="I14" i="7"/>
  <c r="I13" i="7" s="1"/>
  <c r="D128" i="6"/>
  <c r="D127" i="6" s="1"/>
  <c r="D126" i="6" s="1"/>
  <c r="I128" i="6"/>
  <c r="L398" i="2"/>
  <c r="L507" i="2"/>
  <c r="J508" i="2"/>
  <c r="D53" i="9"/>
  <c r="F145" i="8"/>
  <c r="E59" i="1"/>
  <c r="G59" i="1"/>
  <c r="F19" i="7"/>
  <c r="H19" i="7"/>
  <c r="G87" i="7"/>
  <c r="D59" i="5"/>
  <c r="H48" i="5"/>
  <c r="E21" i="7"/>
  <c r="E18" i="7" s="1"/>
  <c r="F21" i="7"/>
  <c r="F239" i="8"/>
  <c r="F238" i="8" s="1"/>
  <c r="H54" i="8"/>
  <c r="H93" i="8"/>
  <c r="H239" i="8"/>
  <c r="H238" i="8" s="1"/>
  <c r="D98" i="8"/>
  <c r="E23" i="1"/>
  <c r="G23" i="1"/>
  <c r="E61" i="8"/>
  <c r="E206" i="8"/>
  <c r="E213" i="8"/>
  <c r="D65" i="1"/>
  <c r="F65" i="1"/>
  <c r="L65" i="1" s="1"/>
  <c r="D74" i="1"/>
  <c r="F74" i="1"/>
  <c r="L74" i="1" s="1"/>
  <c r="D72" i="1"/>
  <c r="L241" i="8"/>
  <c r="F72" i="1"/>
  <c r="H230" i="8"/>
  <c r="H13" i="8"/>
  <c r="D23" i="1"/>
  <c r="F23" i="1"/>
  <c r="E67" i="8"/>
  <c r="G93" i="8"/>
  <c r="D32" i="8"/>
  <c r="D145" i="8"/>
  <c r="O149" i="8"/>
  <c r="L237" i="8"/>
  <c r="F59" i="1"/>
  <c r="D18" i="1"/>
  <c r="F18" i="1"/>
  <c r="L149" i="8"/>
  <c r="E18" i="1"/>
  <c r="G18" i="1"/>
  <c r="G14" i="6"/>
  <c r="G13" i="6" s="1"/>
  <c r="D14" i="6"/>
  <c r="D499" i="2"/>
  <c r="E22" i="5"/>
  <c r="E11" i="5" s="1"/>
  <c r="F13" i="5"/>
  <c r="E27" i="5"/>
  <c r="D67" i="5"/>
  <c r="D55" i="5" s="1"/>
  <c r="I67" i="5"/>
  <c r="E69" i="5"/>
  <c r="E75" i="5"/>
  <c r="D76" i="5"/>
  <c r="D70" i="5"/>
  <c r="D69" i="5" s="1"/>
  <c r="H23" i="9"/>
  <c r="H47" i="9"/>
  <c r="H46" i="9" s="1"/>
  <c r="D54" i="9"/>
  <c r="G57" i="9"/>
  <c r="D58" i="9"/>
  <c r="J59" i="9"/>
  <c r="G50" i="9"/>
  <c r="D51" i="9"/>
  <c r="J52" i="9"/>
  <c r="H14" i="9"/>
  <c r="G20" i="9"/>
  <c r="G28" i="9"/>
  <c r="G23" i="9"/>
  <c r="D24" i="9"/>
  <c r="J25" i="9"/>
  <c r="D26" i="9"/>
  <c r="D28" i="9"/>
  <c r="F13" i="8"/>
  <c r="F12" i="8" s="1"/>
  <c r="E49" i="8"/>
  <c r="O51" i="8"/>
  <c r="H48" i="8"/>
  <c r="D37" i="8"/>
  <c r="D35" i="8" s="1"/>
  <c r="O37" i="8"/>
  <c r="D45" i="8"/>
  <c r="D44" i="8" s="1"/>
  <c r="O45" i="8"/>
  <c r="D56" i="8"/>
  <c r="D55" i="8" s="1"/>
  <c r="O56" i="8"/>
  <c r="D39" i="8"/>
  <c r="O39" i="8"/>
  <c r="D51" i="8"/>
  <c r="D49" i="8" s="1"/>
  <c r="D53" i="8"/>
  <c r="D52" i="8" s="1"/>
  <c r="O53" i="8"/>
  <c r="D59" i="8"/>
  <c r="D58" i="8" s="1"/>
  <c r="O59" i="8"/>
  <c r="D78" i="8"/>
  <c r="D16" i="8" s="1"/>
  <c r="I78" i="8"/>
  <c r="O78" i="8" s="1"/>
  <c r="D82" i="8"/>
  <c r="I82" i="8"/>
  <c r="D86" i="8"/>
  <c r="D84" i="8" s="1"/>
  <c r="E84" i="8"/>
  <c r="I86" i="8"/>
  <c r="D90" i="8"/>
  <c r="D31" i="8" s="1"/>
  <c r="C39" i="1" s="1"/>
  <c r="E88" i="8"/>
  <c r="I90" i="8"/>
  <c r="D94" i="8"/>
  <c r="D257" i="8"/>
  <c r="D256" i="8" s="1"/>
  <c r="D255" i="8" s="1"/>
  <c r="O257" i="8"/>
  <c r="G13" i="8"/>
  <c r="E52" i="8"/>
  <c r="E48" i="8" s="1"/>
  <c r="E55" i="8"/>
  <c r="E145" i="8"/>
  <c r="G145" i="8"/>
  <c r="D67" i="8"/>
  <c r="D128" i="8"/>
  <c r="J129" i="8"/>
  <c r="F234" i="8"/>
  <c r="F233" i="8" s="1"/>
  <c r="H234" i="8"/>
  <c r="H233" i="8" s="1"/>
  <c r="D248" i="8"/>
  <c r="D247" i="8" s="1"/>
  <c r="J249" i="8"/>
  <c r="E35" i="8"/>
  <c r="J118" i="8"/>
  <c r="D121" i="8"/>
  <c r="J122" i="8"/>
  <c r="D123" i="8"/>
  <c r="J124" i="8"/>
  <c r="D126" i="8"/>
  <c r="J127" i="8"/>
  <c r="D162" i="8"/>
  <c r="J162" i="8" s="1"/>
  <c r="J163" i="8"/>
  <c r="D515" i="2"/>
  <c r="D514" i="2" s="1"/>
  <c r="J516" i="2"/>
  <c r="L495" i="2"/>
  <c r="L499" i="2"/>
  <c r="D498" i="2"/>
  <c r="J500" i="2"/>
  <c r="D120" i="6"/>
  <c r="D119" i="6" s="1"/>
  <c r="D118" i="6" s="1"/>
  <c r="I112" i="6"/>
  <c r="D15" i="5"/>
  <c r="D14" i="5" s="1"/>
  <c r="D25" i="5"/>
  <c r="D16" i="5"/>
  <c r="G29" i="7"/>
  <c r="M29" i="7" s="1"/>
  <c r="M30" i="7"/>
  <c r="D53" i="7"/>
  <c r="D20" i="7" s="1"/>
  <c r="C73" i="1" s="1"/>
  <c r="I53" i="7"/>
  <c r="I20" i="7" s="1"/>
  <c r="E81" i="7"/>
  <c r="I82" i="7"/>
  <c r="L88" i="7"/>
  <c r="G21" i="7"/>
  <c r="E24" i="7"/>
  <c r="G24" i="7"/>
  <c r="H13" i="7"/>
  <c r="D25" i="7"/>
  <c r="H87" i="7"/>
  <c r="G16" i="7"/>
  <c r="D37" i="7"/>
  <c r="F13" i="7"/>
  <c r="F12" i="7" s="1"/>
  <c r="G40" i="8"/>
  <c r="D207" i="8"/>
  <c r="J208" i="8"/>
  <c r="F10" i="8"/>
  <c r="D224" i="8"/>
  <c r="J225" i="8"/>
  <c r="D214" i="8"/>
  <c r="D217" i="8"/>
  <c r="D210" i="8"/>
  <c r="G29" i="8"/>
  <c r="G101" i="8"/>
  <c r="D105" i="8"/>
  <c r="D102" i="8"/>
  <c r="G24" i="8"/>
  <c r="G81" i="7"/>
  <c r="L82" i="7"/>
  <c r="D82" i="7"/>
  <c r="G75" i="5"/>
  <c r="D53" i="5"/>
  <c r="C64" i="1" s="1"/>
  <c r="D57" i="5"/>
  <c r="D56" i="5" s="1"/>
  <c r="F22" i="5"/>
  <c r="H22" i="5"/>
  <c r="H52" i="5"/>
  <c r="H51" i="5" s="1"/>
  <c r="E13" i="5"/>
  <c r="F430" i="2"/>
  <c r="E54" i="1" s="1"/>
  <c r="H430" i="2"/>
  <c r="K514" i="2"/>
  <c r="I514" i="2"/>
  <c r="J514" i="2" s="1"/>
  <c r="K449" i="2"/>
  <c r="J499" i="2"/>
  <c r="K506" i="2"/>
  <c r="I507" i="2"/>
  <c r="J507" i="2" s="1"/>
  <c r="I510" i="2"/>
  <c r="J59" i="1"/>
  <c r="K439" i="2"/>
  <c r="F14" i="9"/>
  <c r="F29" i="8"/>
  <c r="F23" i="8" s="1"/>
  <c r="E221" i="8"/>
  <c r="H12" i="7"/>
  <c r="F18" i="7"/>
  <c r="G39" i="7"/>
  <c r="G109" i="6"/>
  <c r="G107" i="6" s="1"/>
  <c r="E48" i="5"/>
  <c r="G48" i="5"/>
  <c r="E14" i="9"/>
  <c r="G14" i="9"/>
  <c r="D17" i="9"/>
  <c r="F11" i="9"/>
  <c r="E18" i="8"/>
  <c r="G232" i="8"/>
  <c r="D244" i="8"/>
  <c r="D243" i="8" s="1"/>
  <c r="H18" i="7"/>
  <c r="F33" i="7"/>
  <c r="H33" i="7"/>
  <c r="G10" i="6"/>
  <c r="D58" i="5"/>
  <c r="H58" i="5"/>
  <c r="D75" i="5"/>
  <c r="E239" i="8"/>
  <c r="G239" i="8"/>
  <c r="G238" i="8" s="1"/>
  <c r="D42" i="7"/>
  <c r="D39" i="7" s="1"/>
  <c r="D75" i="7"/>
  <c r="H75" i="7"/>
  <c r="H20" i="9"/>
  <c r="H19" i="9" s="1"/>
  <c r="D42" i="9"/>
  <c r="D44" i="9"/>
  <c r="E14" i="8"/>
  <c r="E15" i="8"/>
  <c r="C23" i="1"/>
  <c r="H20" i="8"/>
  <c r="H22" i="8"/>
  <c r="H27" i="8"/>
  <c r="H30" i="8"/>
  <c r="E31" i="8"/>
  <c r="F67" i="8"/>
  <c r="H67" i="8"/>
  <c r="D77" i="8"/>
  <c r="D117" i="8"/>
  <c r="E253" i="8"/>
  <c r="E252" i="8"/>
  <c r="E237" i="8"/>
  <c r="E13" i="7"/>
  <c r="E12" i="7" s="1"/>
  <c r="D27" i="7"/>
  <c r="D24" i="7" s="1"/>
  <c r="E70" i="7"/>
  <c r="E73" i="7"/>
  <c r="H111" i="6"/>
  <c r="H110" i="6" s="1"/>
  <c r="D124" i="6"/>
  <c r="D123" i="6" s="1"/>
  <c r="D122" i="6" s="1"/>
  <c r="D109" i="6" s="1"/>
  <c r="D135" i="6"/>
  <c r="D134" i="6" s="1"/>
  <c r="D108" i="6" s="1"/>
  <c r="H135" i="6"/>
  <c r="H134" i="6" s="1"/>
  <c r="H108" i="6" s="1"/>
  <c r="G13" i="5"/>
  <c r="D28" i="5"/>
  <c r="D27" i="5" s="1"/>
  <c r="D19" i="5"/>
  <c r="D18" i="5" s="1"/>
  <c r="E52" i="5"/>
  <c r="E51" i="5" s="1"/>
  <c r="G52" i="5"/>
  <c r="G51" i="5" s="1"/>
  <c r="D112" i="8"/>
  <c r="D22" i="8"/>
  <c r="F11" i="8"/>
  <c r="D66" i="5"/>
  <c r="D65" i="5" s="1"/>
  <c r="D50" i="5" s="1"/>
  <c r="D61" i="9"/>
  <c r="G18" i="8"/>
  <c r="E58" i="8"/>
  <c r="E234" i="8"/>
  <c r="G234" i="8"/>
  <c r="G233" i="8" s="1"/>
  <c r="E467" i="2"/>
  <c r="E466" i="2" s="1"/>
  <c r="E75" i="8"/>
  <c r="G10" i="8"/>
  <c r="D221" i="8"/>
  <c r="D61" i="8"/>
  <c r="E430" i="2"/>
  <c r="D54" i="1" s="1"/>
  <c r="G511" i="2"/>
  <c r="G510" i="2" s="1"/>
  <c r="L434" i="2"/>
  <c r="G439" i="2"/>
  <c r="G438" i="2" s="1"/>
  <c r="H439" i="2"/>
  <c r="H438" i="2" s="1"/>
  <c r="F439" i="2"/>
  <c r="F438" i="2" s="1"/>
  <c r="D21" i="6"/>
  <c r="D18" i="6"/>
  <c r="D23" i="6"/>
  <c r="D22" i="6" s="1"/>
  <c r="D52" i="7"/>
  <c r="D51" i="7" s="1"/>
  <c r="D34" i="7"/>
  <c r="D241" i="8"/>
  <c r="D115" i="8"/>
  <c r="D27" i="8"/>
  <c r="D38" i="8"/>
  <c r="D41" i="8"/>
  <c r="D110" i="8"/>
  <c r="D17" i="8"/>
  <c r="D125" i="8"/>
  <c r="E44" i="8"/>
  <c r="K510" i="2"/>
  <c r="M510" i="2" s="1"/>
  <c r="D512" i="2"/>
  <c r="D511" i="2" s="1"/>
  <c r="D510" i="2" s="1"/>
  <c r="K494" i="2"/>
  <c r="M494" i="2" s="1"/>
  <c r="I495" i="2"/>
  <c r="G506" i="2"/>
  <c r="G515" i="2"/>
  <c r="G514" i="2" s="1"/>
  <c r="D506" i="2"/>
  <c r="I387" i="2"/>
  <c r="I386" i="2" s="1"/>
  <c r="E344" i="2"/>
  <c r="F349" i="2"/>
  <c r="F348" i="2" s="1"/>
  <c r="E346" i="2"/>
  <c r="G340" i="2"/>
  <c r="F340" i="2"/>
  <c r="F339" i="2" s="1"/>
  <c r="G339" i="2"/>
  <c r="I302" i="2"/>
  <c r="I305" i="2"/>
  <c r="I304" i="2" s="1"/>
  <c r="I303" i="2" s="1"/>
  <c r="K304" i="2"/>
  <c r="K303" i="2" s="1"/>
  <c r="K301" i="2"/>
  <c r="K300" i="2" s="1"/>
  <c r="H304" i="2"/>
  <c r="H303" i="2" s="1"/>
  <c r="G304" i="2"/>
  <c r="F292" i="2"/>
  <c r="E284" i="2"/>
  <c r="G261" i="2"/>
  <c r="I253" i="2"/>
  <c r="I252" i="2" s="1"/>
  <c r="I249" i="2" s="1"/>
  <c r="K252" i="2"/>
  <c r="G252" i="2"/>
  <c r="G249" i="2" s="1"/>
  <c r="E239" i="2"/>
  <c r="E238" i="2" s="1"/>
  <c r="I230" i="2"/>
  <c r="G229" i="2"/>
  <c r="E226" i="2"/>
  <c r="E224" i="2"/>
  <c r="F220" i="2"/>
  <c r="E218" i="2"/>
  <c r="E199" i="2"/>
  <c r="E197" i="2"/>
  <c r="E183" i="2"/>
  <c r="D46" i="9" l="1"/>
  <c r="D23" i="9"/>
  <c r="D25" i="8"/>
  <c r="D24" i="8" s="1"/>
  <c r="D93" i="8"/>
  <c r="I12" i="7"/>
  <c r="G11" i="5"/>
  <c r="G10" i="5" s="1"/>
  <c r="F11" i="5"/>
  <c r="H11" i="5"/>
  <c r="K72" i="1"/>
  <c r="M439" i="2"/>
  <c r="M506" i="2"/>
  <c r="M514" i="2"/>
  <c r="M515" i="2"/>
  <c r="M511" i="2"/>
  <c r="K249" i="2"/>
  <c r="M249" i="2" s="1"/>
  <c r="M252" i="2"/>
  <c r="G11" i="8"/>
  <c r="G9" i="8" s="1"/>
  <c r="G12" i="8"/>
  <c r="D54" i="8"/>
  <c r="L59" i="1"/>
  <c r="G303" i="2"/>
  <c r="M303" i="2" s="1"/>
  <c r="M304" i="2"/>
  <c r="G228" i="2"/>
  <c r="G260" i="2"/>
  <c r="L72" i="1"/>
  <c r="L23" i="1"/>
  <c r="D73" i="7"/>
  <c r="D14" i="7" s="1"/>
  <c r="D9" i="7"/>
  <c r="G18" i="7"/>
  <c r="G12" i="9"/>
  <c r="G11" i="9" s="1"/>
  <c r="H12" i="9"/>
  <c r="H11" i="9" s="1"/>
  <c r="D21" i="9"/>
  <c r="D20" i="9" s="1"/>
  <c r="D14" i="9"/>
  <c r="O82" i="8"/>
  <c r="I79" i="8"/>
  <c r="D21" i="8"/>
  <c r="C26" i="1" s="1"/>
  <c r="D79" i="8"/>
  <c r="D20" i="8"/>
  <c r="D18" i="8" s="1"/>
  <c r="C18" i="1"/>
  <c r="D109" i="8"/>
  <c r="D120" i="8"/>
  <c r="D26" i="8"/>
  <c r="C31" i="1" s="1"/>
  <c r="D30" i="8"/>
  <c r="D29" i="8" s="1"/>
  <c r="E74" i="8"/>
  <c r="D101" i="8"/>
  <c r="E54" i="8"/>
  <c r="H18" i="8"/>
  <c r="H12" i="8" s="1"/>
  <c r="D48" i="8"/>
  <c r="D34" i="8"/>
  <c r="D13" i="5"/>
  <c r="I55" i="5"/>
  <c r="I52" i="5" s="1"/>
  <c r="I51" i="5" s="1"/>
  <c r="E10" i="5"/>
  <c r="E223" i="2"/>
  <c r="D48" i="5"/>
  <c r="H10" i="5"/>
  <c r="D430" i="2"/>
  <c r="J515" i="2"/>
  <c r="D21" i="7"/>
  <c r="E40" i="8"/>
  <c r="D40" i="8"/>
  <c r="D239" i="8"/>
  <c r="D238" i="8" s="1"/>
  <c r="E233" i="8"/>
  <c r="E232" i="8"/>
  <c r="H24" i="8"/>
  <c r="E238" i="8"/>
  <c r="G230" i="8"/>
  <c r="E34" i="8"/>
  <c r="I88" i="8"/>
  <c r="O88" i="8" s="1"/>
  <c r="O90" i="8"/>
  <c r="D59" i="1"/>
  <c r="H29" i="8"/>
  <c r="I84" i="8"/>
  <c r="O84" i="8" s="1"/>
  <c r="O86" i="8"/>
  <c r="K59" i="1"/>
  <c r="E29" i="8"/>
  <c r="E23" i="8" s="1"/>
  <c r="D39" i="1"/>
  <c r="D20" i="6"/>
  <c r="D19" i="6" s="1"/>
  <c r="D17" i="6"/>
  <c r="D13" i="6" s="1"/>
  <c r="D10" i="6"/>
  <c r="L510" i="2"/>
  <c r="L498" i="2"/>
  <c r="L494" i="2"/>
  <c r="F48" i="5"/>
  <c r="D107" i="6"/>
  <c r="D47" i="9"/>
  <c r="D57" i="9"/>
  <c r="D50" i="9"/>
  <c r="G19" i="9"/>
  <c r="D15" i="8"/>
  <c r="D13" i="8" s="1"/>
  <c r="D12" i="8" s="1"/>
  <c r="J37" i="8"/>
  <c r="D75" i="8"/>
  <c r="D74" i="8" s="1"/>
  <c r="J77" i="8"/>
  <c r="E11" i="8"/>
  <c r="D88" i="8"/>
  <c r="D83" i="8" s="1"/>
  <c r="D10" i="8"/>
  <c r="F9" i="8"/>
  <c r="H10" i="8"/>
  <c r="L249" i="2"/>
  <c r="L252" i="2"/>
  <c r="L304" i="2"/>
  <c r="L439" i="2"/>
  <c r="J510" i="2"/>
  <c r="L506" i="2"/>
  <c r="L514" i="2"/>
  <c r="J512" i="2"/>
  <c r="L511" i="2"/>
  <c r="J495" i="2"/>
  <c r="L515" i="2"/>
  <c r="J511" i="2"/>
  <c r="D112" i="6"/>
  <c r="D111" i="6" s="1"/>
  <c r="D110" i="6" s="1"/>
  <c r="F10" i="5"/>
  <c r="D22" i="5"/>
  <c r="D70" i="7"/>
  <c r="J71" i="7"/>
  <c r="G12" i="7"/>
  <c r="D33" i="7"/>
  <c r="D213" i="8"/>
  <c r="D206" i="8"/>
  <c r="G23" i="8"/>
  <c r="D81" i="7"/>
  <c r="J82" i="7"/>
  <c r="D52" i="5"/>
  <c r="D51" i="5" s="1"/>
  <c r="I229" i="2"/>
  <c r="I228" i="2" s="1"/>
  <c r="I506" i="2"/>
  <c r="J506" i="2" s="1"/>
  <c r="I498" i="2"/>
  <c r="J498" i="2" s="1"/>
  <c r="I494" i="2"/>
  <c r="J494" i="2" s="1"/>
  <c r="I301" i="2"/>
  <c r="I300" i="2" s="1"/>
  <c r="K438" i="2"/>
  <c r="M438" i="2" s="1"/>
  <c r="H107" i="6"/>
  <c r="D69" i="7"/>
  <c r="G430" i="2"/>
  <c r="F54" i="1" s="1"/>
  <c r="E10" i="8"/>
  <c r="D114" i="8"/>
  <c r="E69" i="7"/>
  <c r="D253" i="8"/>
  <c r="D237" i="8"/>
  <c r="D252" i="8"/>
  <c r="D232" i="8" s="1"/>
  <c r="D230" i="8" s="1"/>
  <c r="E83" i="8"/>
  <c r="E13" i="8"/>
  <c r="E12" i="8" s="1"/>
  <c r="D19" i="7"/>
  <c r="H11" i="8"/>
  <c r="K430" i="2"/>
  <c r="E196" i="2"/>
  <c r="E343" i="2"/>
  <c r="E176" i="2"/>
  <c r="E174" i="2"/>
  <c r="E171" i="2"/>
  <c r="E169" i="2"/>
  <c r="E168" i="2"/>
  <c r="E163" i="2"/>
  <c r="E162" i="2" s="1"/>
  <c r="E141" i="2"/>
  <c r="E139" i="2"/>
  <c r="E124" i="2"/>
  <c r="E123" i="2" s="1"/>
  <c r="E111" i="2"/>
  <c r="E108" i="2"/>
  <c r="E95" i="2"/>
  <c r="I88" i="2"/>
  <c r="E81" i="2"/>
  <c r="E77" i="2" s="1"/>
  <c r="E63" i="2"/>
  <c r="E62" i="2" s="1"/>
  <c r="E59" i="2"/>
  <c r="I58" i="2"/>
  <c r="D11" i="5" l="1"/>
  <c r="D10" i="5" s="1"/>
  <c r="D18" i="7"/>
  <c r="L303" i="2"/>
  <c r="M430" i="2"/>
  <c r="D12" i="9"/>
  <c r="D11" i="9" s="1"/>
  <c r="D11" i="8"/>
  <c r="D9" i="8" s="1"/>
  <c r="I430" i="2"/>
  <c r="H23" i="8"/>
  <c r="I83" i="8"/>
  <c r="L53" i="2"/>
  <c r="L438" i="2"/>
  <c r="E230" i="8"/>
  <c r="E9" i="8"/>
  <c r="L430" i="2"/>
  <c r="D19" i="9"/>
  <c r="H9" i="8"/>
  <c r="L45" i="2"/>
  <c r="D16" i="7"/>
  <c r="D13" i="7"/>
  <c r="J13" i="7" s="1"/>
  <c r="D23" i="8"/>
  <c r="D234" i="8"/>
  <c r="D233" i="8" s="1"/>
  <c r="E107" i="2"/>
  <c r="E138" i="2"/>
  <c r="D12" i="7" l="1"/>
  <c r="J430" i="2"/>
  <c r="E150" i="3"/>
  <c r="F199" i="3"/>
  <c r="F197" i="3"/>
  <c r="F194" i="3"/>
  <c r="F191" i="3"/>
  <c r="F187" i="3"/>
  <c r="F185" i="3"/>
  <c r="F182" i="3"/>
  <c r="F179" i="3"/>
  <c r="H15" i="3"/>
  <c r="D164" i="3"/>
  <c r="H101" i="3"/>
  <c r="F184" i="3" l="1"/>
  <c r="F190" i="3"/>
  <c r="F196" i="3"/>
  <c r="F178" i="3"/>
  <c r="E20" i="3" l="1"/>
  <c r="E15" i="3"/>
  <c r="H46" i="3"/>
  <c r="H43" i="3" s="1"/>
  <c r="G46" i="3"/>
  <c r="M46" i="3" s="1"/>
  <c r="H41" i="3"/>
  <c r="H38" i="3" s="1"/>
  <c r="M23" i="3"/>
  <c r="M24" i="3"/>
  <c r="M25" i="3"/>
  <c r="M26" i="3"/>
  <c r="M27" i="3"/>
  <c r="M28" i="3"/>
  <c r="M29" i="3"/>
  <c r="M36" i="3"/>
  <c r="M51" i="3"/>
  <c r="M63" i="3"/>
  <c r="M40" i="3"/>
  <c r="M45" i="3"/>
  <c r="E58" i="1"/>
  <c r="F58" i="1"/>
  <c r="K26" i="4"/>
  <c r="G76" i="1"/>
  <c r="E76" i="1"/>
  <c r="G67" i="1"/>
  <c r="F67" i="1"/>
  <c r="E67" i="1"/>
  <c r="K16" i="4"/>
  <c r="J61" i="1" s="1"/>
  <c r="G61" i="1"/>
  <c r="F61" i="1"/>
  <c r="E61" i="1"/>
  <c r="K15" i="4"/>
  <c r="E60" i="1"/>
  <c r="F60" i="1"/>
  <c r="G60" i="1"/>
  <c r="G58" i="1"/>
  <c r="I76" i="4"/>
  <c r="K75" i="4"/>
  <c r="K74" i="4" s="1"/>
  <c r="H75" i="4"/>
  <c r="H74" i="4" s="1"/>
  <c r="G75" i="4"/>
  <c r="M75" i="4" s="1"/>
  <c r="F75" i="4"/>
  <c r="F74" i="4" s="1"/>
  <c r="E75" i="4"/>
  <c r="E74" i="4" s="1"/>
  <c r="D75" i="4"/>
  <c r="D74" i="4" s="1"/>
  <c r="G74" i="4"/>
  <c r="M74" i="4" s="1"/>
  <c r="D72" i="4"/>
  <c r="G69" i="4"/>
  <c r="F69" i="4"/>
  <c r="G64" i="4"/>
  <c r="H64" i="4"/>
  <c r="F64" i="4"/>
  <c r="D76" i="1"/>
  <c r="D67" i="1"/>
  <c r="M57" i="4"/>
  <c r="M58" i="4"/>
  <c r="M11" i="4" l="1"/>
  <c r="M15" i="4"/>
  <c r="M16" i="4"/>
  <c r="M20" i="4"/>
  <c r="D70" i="4"/>
  <c r="D69" i="4" s="1"/>
  <c r="F76" i="1"/>
  <c r="M26" i="4"/>
  <c r="H70" i="4"/>
  <c r="H69" i="4" s="1"/>
  <c r="H10" i="4"/>
  <c r="G54" i="1" s="1"/>
  <c r="L65" i="4"/>
  <c r="J76" i="4"/>
  <c r="L70" i="4"/>
  <c r="L15" i="4"/>
  <c r="L16" i="4"/>
  <c r="L20" i="4"/>
  <c r="L26" i="4"/>
  <c r="D60" i="1"/>
  <c r="M64" i="4"/>
  <c r="K69" i="4"/>
  <c r="G9" i="4"/>
  <c r="E64" i="4"/>
  <c r="C54" i="1"/>
  <c r="E69" i="4"/>
  <c r="I75" i="4"/>
  <c r="J75" i="4" s="1"/>
  <c r="D61" i="1"/>
  <c r="K63" i="5"/>
  <c r="K61" i="5"/>
  <c r="K57" i="5"/>
  <c r="M57" i="5" s="1"/>
  <c r="K53" i="5"/>
  <c r="M53" i="5" s="1"/>
  <c r="J61" i="5"/>
  <c r="K76" i="5"/>
  <c r="J63" i="5"/>
  <c r="J80" i="5"/>
  <c r="K79" i="5"/>
  <c r="K73" i="5"/>
  <c r="M73" i="5" s="1"/>
  <c r="K70" i="5"/>
  <c r="M70" i="5" s="1"/>
  <c r="K28" i="5"/>
  <c r="M28" i="5" s="1"/>
  <c r="K25" i="5"/>
  <c r="K23" i="5"/>
  <c r="J72" i="4" l="1"/>
  <c r="I70" i="4"/>
  <c r="J70" i="4" s="1"/>
  <c r="I10" i="4"/>
  <c r="I25" i="5"/>
  <c r="J25" i="5" s="1"/>
  <c r="M25" i="5"/>
  <c r="I23" i="5"/>
  <c r="M23" i="5"/>
  <c r="H9" i="4"/>
  <c r="L53" i="5"/>
  <c r="L69" i="4"/>
  <c r="J67" i="4"/>
  <c r="D65" i="4"/>
  <c r="L64" i="4"/>
  <c r="I28" i="5"/>
  <c r="L70" i="5"/>
  <c r="J70" i="5"/>
  <c r="L79" i="5"/>
  <c r="L73" i="5"/>
  <c r="L76" i="5"/>
  <c r="K52" i="5"/>
  <c r="M52" i="5" s="1"/>
  <c r="L57" i="5"/>
  <c r="M10" i="4"/>
  <c r="I64" i="4"/>
  <c r="I74" i="4"/>
  <c r="J74" i="4" s="1"/>
  <c r="L23" i="5"/>
  <c r="L25" i="5"/>
  <c r="L15" i="5"/>
  <c r="K56" i="5"/>
  <c r="M56" i="5" s="1"/>
  <c r="J26" i="5"/>
  <c r="J29" i="5"/>
  <c r="J59" i="5"/>
  <c r="J60" i="5"/>
  <c r="K59" i="5"/>
  <c r="L61" i="5"/>
  <c r="K27" i="5"/>
  <c r="L28" i="5"/>
  <c r="K16" i="5"/>
  <c r="M16" i="5" s="1"/>
  <c r="L17" i="5"/>
  <c r="J67" i="5"/>
  <c r="J71" i="5"/>
  <c r="K14" i="5"/>
  <c r="M14" i="5" s="1"/>
  <c r="K19" i="5"/>
  <c r="M19" i="5" s="1"/>
  <c r="L20" i="5"/>
  <c r="J54" i="5"/>
  <c r="J72" i="5"/>
  <c r="J57" i="5"/>
  <c r="J74" i="5"/>
  <c r="J76" i="5"/>
  <c r="J77" i="5"/>
  <c r="J64" i="1"/>
  <c r="L64" i="1" s="1"/>
  <c r="K62" i="5"/>
  <c r="L63" i="5"/>
  <c r="F9" i="4"/>
  <c r="J73" i="5"/>
  <c r="J56" i="5"/>
  <c r="J62" i="5"/>
  <c r="K22" i="5"/>
  <c r="K69" i="5"/>
  <c r="M69" i="5" s="1"/>
  <c r="K75" i="5"/>
  <c r="J79" i="5"/>
  <c r="I19" i="5"/>
  <c r="K135" i="6"/>
  <c r="M135" i="6" l="1"/>
  <c r="I135" i="6"/>
  <c r="M27" i="5"/>
  <c r="K11" i="5"/>
  <c r="M11" i="5" s="1"/>
  <c r="M22" i="5"/>
  <c r="L52" i="5"/>
  <c r="K9" i="4"/>
  <c r="I22" i="5"/>
  <c r="I27" i="5"/>
  <c r="K64" i="1"/>
  <c r="K13" i="5"/>
  <c r="M13" i="5" s="1"/>
  <c r="K51" i="5"/>
  <c r="M51" i="5" s="1"/>
  <c r="L75" i="5"/>
  <c r="L69" i="5"/>
  <c r="J69" i="5"/>
  <c r="L59" i="5"/>
  <c r="L56" i="5"/>
  <c r="D64" i="4"/>
  <c r="J64" i="4" s="1"/>
  <c r="J65" i="4"/>
  <c r="L10" i="4"/>
  <c r="I69" i="4"/>
  <c r="J69" i="4" s="1"/>
  <c r="J15" i="5"/>
  <c r="I14" i="5"/>
  <c r="L22" i="5"/>
  <c r="L16" i="5"/>
  <c r="L14" i="5"/>
  <c r="J17" i="5"/>
  <c r="J20" i="5"/>
  <c r="J51" i="5"/>
  <c r="K134" i="6"/>
  <c r="L135" i="6"/>
  <c r="J136" i="6"/>
  <c r="K111" i="6"/>
  <c r="M111" i="6" s="1"/>
  <c r="L112" i="6"/>
  <c r="I16" i="5"/>
  <c r="J16" i="5" s="1"/>
  <c r="J75" i="5"/>
  <c r="I18" i="5"/>
  <c r="J18" i="5" s="1"/>
  <c r="J19" i="5"/>
  <c r="K58" i="5"/>
  <c r="L62" i="5"/>
  <c r="J23" i="5"/>
  <c r="K18" i="5"/>
  <c r="M18" i="5" s="1"/>
  <c r="L19" i="5"/>
  <c r="H64" i="1"/>
  <c r="I64" i="1" s="1"/>
  <c r="J53" i="5"/>
  <c r="L27" i="5"/>
  <c r="J28" i="5"/>
  <c r="E9" i="4"/>
  <c r="K23" i="6"/>
  <c r="M23" i="6" s="1"/>
  <c r="K21" i="6"/>
  <c r="M21" i="6" s="1"/>
  <c r="K18" i="6"/>
  <c r="M18" i="6" s="1"/>
  <c r="K16" i="6"/>
  <c r="M16" i="6" s="1"/>
  <c r="K15" i="6"/>
  <c r="M15" i="6" s="1"/>
  <c r="K91" i="6"/>
  <c r="K89" i="6"/>
  <c r="K86" i="6"/>
  <c r="K84" i="6"/>
  <c r="K80" i="6"/>
  <c r="K77" i="6"/>
  <c r="K73" i="6"/>
  <c r="K70" i="6"/>
  <c r="K66" i="6"/>
  <c r="K64" i="6"/>
  <c r="K61" i="6"/>
  <c r="K59" i="6"/>
  <c r="J56" i="6"/>
  <c r="K55" i="6"/>
  <c r="K53" i="6"/>
  <c r="K50" i="6"/>
  <c r="K48" i="6"/>
  <c r="K44" i="6"/>
  <c r="K42" i="6"/>
  <c r="K39" i="6"/>
  <c r="K37" i="6"/>
  <c r="K58" i="8"/>
  <c r="M58" i="8" s="1"/>
  <c r="M84" i="6" l="1"/>
  <c r="I84" i="6"/>
  <c r="M89" i="6"/>
  <c r="I89" i="6"/>
  <c r="M86" i="6"/>
  <c r="I86" i="6"/>
  <c r="M91" i="6"/>
  <c r="I91" i="6"/>
  <c r="M134" i="6"/>
  <c r="I134" i="6"/>
  <c r="L51" i="5"/>
  <c r="I11" i="5"/>
  <c r="I10" i="5" s="1"/>
  <c r="J22" i="5"/>
  <c r="L9" i="4"/>
  <c r="M9" i="4"/>
  <c r="L13" i="5"/>
  <c r="I37" i="6"/>
  <c r="M37" i="6"/>
  <c r="I42" i="6"/>
  <c r="M42" i="6"/>
  <c r="K47" i="6"/>
  <c r="M48" i="6"/>
  <c r="I48" i="6"/>
  <c r="M53" i="6"/>
  <c r="I53" i="6"/>
  <c r="I61" i="6"/>
  <c r="M61" i="6"/>
  <c r="I66" i="6"/>
  <c r="M66" i="6"/>
  <c r="I39" i="6"/>
  <c r="J39" i="6" s="1"/>
  <c r="M39" i="6"/>
  <c r="I44" i="6"/>
  <c r="M44" i="6"/>
  <c r="M50" i="6"/>
  <c r="I50" i="6"/>
  <c r="M55" i="6"/>
  <c r="I55" i="6"/>
  <c r="I59" i="6"/>
  <c r="M59" i="6"/>
  <c r="K63" i="6"/>
  <c r="I64" i="6"/>
  <c r="M64" i="6"/>
  <c r="M77" i="6"/>
  <c r="I77" i="6"/>
  <c r="M73" i="6"/>
  <c r="I73" i="6"/>
  <c r="M80" i="6"/>
  <c r="I80" i="6"/>
  <c r="J86" i="6"/>
  <c r="I111" i="6"/>
  <c r="K108" i="6"/>
  <c r="L108" i="6" s="1"/>
  <c r="J134" i="6"/>
  <c r="M70" i="6"/>
  <c r="I70" i="6"/>
  <c r="I13" i="5"/>
  <c r="J10" i="4"/>
  <c r="J135" i="6"/>
  <c r="K9" i="7"/>
  <c r="K52" i="6"/>
  <c r="L15" i="6"/>
  <c r="L84" i="6"/>
  <c r="L86" i="6"/>
  <c r="L89" i="6"/>
  <c r="L16" i="6"/>
  <c r="L18" i="6"/>
  <c r="L134" i="6"/>
  <c r="L61" i="1"/>
  <c r="L15" i="7"/>
  <c r="L11" i="7"/>
  <c r="J29" i="6"/>
  <c r="J40" i="6"/>
  <c r="J60" i="6"/>
  <c r="J67" i="6"/>
  <c r="J27" i="6"/>
  <c r="K69" i="6"/>
  <c r="L70" i="6"/>
  <c r="K72" i="6"/>
  <c r="L73" i="6"/>
  <c r="J43" i="6"/>
  <c r="J45" i="6"/>
  <c r="J62" i="6"/>
  <c r="J65" i="6"/>
  <c r="J66" i="6"/>
  <c r="K76" i="6"/>
  <c r="L77" i="6"/>
  <c r="K79" i="6"/>
  <c r="L80" i="6"/>
  <c r="K110" i="6"/>
  <c r="M110" i="6" s="1"/>
  <c r="L111" i="6"/>
  <c r="L91" i="6"/>
  <c r="J92" i="6"/>
  <c r="J90" i="6"/>
  <c r="J34" i="6"/>
  <c r="K22" i="6"/>
  <c r="M22" i="6" s="1"/>
  <c r="L23" i="6"/>
  <c r="K20" i="6"/>
  <c r="M20" i="6" s="1"/>
  <c r="L21" i="6"/>
  <c r="J27" i="5"/>
  <c r="L18" i="5"/>
  <c r="K10" i="5"/>
  <c r="L11" i="5"/>
  <c r="L58" i="5"/>
  <c r="J58" i="5"/>
  <c r="J14" i="5"/>
  <c r="K58" i="6"/>
  <c r="J10" i="5"/>
  <c r="J91" i="6"/>
  <c r="K17" i="6"/>
  <c r="M17" i="6" s="1"/>
  <c r="J89" i="6"/>
  <c r="J84" i="6"/>
  <c r="K83" i="6"/>
  <c r="K88" i="6"/>
  <c r="J53" i="6"/>
  <c r="K36" i="6"/>
  <c r="K41" i="6"/>
  <c r="J38" i="6"/>
  <c r="I21" i="10"/>
  <c r="I20" i="10" s="1"/>
  <c r="I19" i="10" s="1"/>
  <c r="D30" i="10"/>
  <c r="D21" i="10" s="1"/>
  <c r="K29" i="10"/>
  <c r="G29" i="10"/>
  <c r="G28" i="10" s="1"/>
  <c r="F29" i="10"/>
  <c r="F28" i="10" s="1"/>
  <c r="E29" i="10"/>
  <c r="E28" i="10"/>
  <c r="I18" i="10"/>
  <c r="D27" i="10"/>
  <c r="D18" i="10" s="1"/>
  <c r="D17" i="10" s="1"/>
  <c r="K26" i="10"/>
  <c r="H26" i="10"/>
  <c r="G26" i="10"/>
  <c r="F26" i="10"/>
  <c r="E26" i="10"/>
  <c r="D26" i="10"/>
  <c r="I16" i="10"/>
  <c r="D25" i="10"/>
  <c r="D16" i="10" s="1"/>
  <c r="K24" i="10"/>
  <c r="H24" i="10"/>
  <c r="G24" i="10"/>
  <c r="F24" i="10"/>
  <c r="F23" i="10" s="1"/>
  <c r="E24" i="10"/>
  <c r="D24" i="10"/>
  <c r="K12" i="10"/>
  <c r="G23" i="10"/>
  <c r="E23" i="10"/>
  <c r="K20" i="10"/>
  <c r="K19" i="10" s="1"/>
  <c r="H20" i="10"/>
  <c r="H19" i="10" s="1"/>
  <c r="G20" i="10"/>
  <c r="G19" i="10" s="1"/>
  <c r="F20" i="10"/>
  <c r="E20" i="10"/>
  <c r="E19" i="10" s="1"/>
  <c r="F19" i="10"/>
  <c r="H17" i="10"/>
  <c r="F17" i="10"/>
  <c r="G17" i="10"/>
  <c r="E17" i="10"/>
  <c r="H15" i="10"/>
  <c r="G15" i="10"/>
  <c r="D15" i="10"/>
  <c r="F15" i="10"/>
  <c r="K68" i="9"/>
  <c r="M68" i="9" s="1"/>
  <c r="I68" i="9"/>
  <c r="J68" i="9" s="1"/>
  <c r="K65" i="9"/>
  <c r="M65" i="9" s="1"/>
  <c r="K61" i="9"/>
  <c r="M61" i="9" s="1"/>
  <c r="K58" i="9"/>
  <c r="K54" i="9"/>
  <c r="I54" i="9"/>
  <c r="J54" i="9" s="1"/>
  <c r="K53" i="9"/>
  <c r="I53" i="9"/>
  <c r="K51" i="9"/>
  <c r="K47" i="9"/>
  <c r="M47" i="9" s="1"/>
  <c r="K44" i="9"/>
  <c r="M44" i="9" s="1"/>
  <c r="K42" i="9"/>
  <c r="M42" i="9" s="1"/>
  <c r="K29" i="9"/>
  <c r="M29" i="9" s="1"/>
  <c r="K26" i="9"/>
  <c r="M26" i="9" s="1"/>
  <c r="K24" i="9"/>
  <c r="M24" i="9" s="1"/>
  <c r="I24" i="9"/>
  <c r="J24" i="9" s="1"/>
  <c r="J16" i="9"/>
  <c r="K248" i="8"/>
  <c r="M248" i="8" s="1"/>
  <c r="K244" i="8"/>
  <c r="M244" i="8" s="1"/>
  <c r="K256" i="8"/>
  <c r="K253" i="8"/>
  <c r="K252" i="8"/>
  <c r="I240" i="8"/>
  <c r="I236" i="8"/>
  <c r="O236" i="8" s="1"/>
  <c r="K234" i="8"/>
  <c r="M234" i="8" s="1"/>
  <c r="K227" i="8"/>
  <c r="M227" i="8" s="1"/>
  <c r="I227" i="8"/>
  <c r="K224" i="8"/>
  <c r="M224" i="8" s="1"/>
  <c r="I224" i="8"/>
  <c r="J224" i="8" s="1"/>
  <c r="M222" i="8"/>
  <c r="K217" i="8"/>
  <c r="M217" i="8" s="1"/>
  <c r="K214" i="8"/>
  <c r="M214" i="8" s="1"/>
  <c r="K210" i="8"/>
  <c r="M210" i="8" s="1"/>
  <c r="K207" i="8"/>
  <c r="M207" i="8" s="1"/>
  <c r="K202" i="8"/>
  <c r="M202" i="8" s="1"/>
  <c r="K199" i="8"/>
  <c r="M199" i="8" s="1"/>
  <c r="J196" i="8"/>
  <c r="K195" i="8"/>
  <c r="M195" i="8" s="1"/>
  <c r="K192" i="8"/>
  <c r="M192" i="8" s="1"/>
  <c r="I154" i="8"/>
  <c r="K152" i="8"/>
  <c r="M152" i="8" s="1"/>
  <c r="I147" i="8"/>
  <c r="O147" i="8" s="1"/>
  <c r="K146" i="8"/>
  <c r="M146" i="8" s="1"/>
  <c r="I146" i="8"/>
  <c r="J146" i="8" s="1"/>
  <c r="K141" i="8"/>
  <c r="M141" i="8" s="1"/>
  <c r="I140" i="8"/>
  <c r="K138" i="8"/>
  <c r="M138" i="8" s="1"/>
  <c r="J136" i="8"/>
  <c r="K134" i="8"/>
  <c r="M134" i="8" s="1"/>
  <c r="K132" i="8"/>
  <c r="M132" i="8" s="1"/>
  <c r="K128" i="8"/>
  <c r="I128" i="8"/>
  <c r="J128" i="8" s="1"/>
  <c r="K126" i="8"/>
  <c r="M126" i="8" s="1"/>
  <c r="I126" i="8"/>
  <c r="K123" i="8"/>
  <c r="M123" i="8" s="1"/>
  <c r="I123" i="8"/>
  <c r="J123" i="8" s="1"/>
  <c r="K121" i="8"/>
  <c r="M121" i="8" s="1"/>
  <c r="K117" i="8"/>
  <c r="K115" i="8"/>
  <c r="M115" i="8" s="1"/>
  <c r="I115" i="8"/>
  <c r="J115" i="8" s="1"/>
  <c r="K112" i="8"/>
  <c r="M112" i="8" s="1"/>
  <c r="I112" i="8"/>
  <c r="J112" i="8" s="1"/>
  <c r="K110" i="8"/>
  <c r="M110" i="8" s="1"/>
  <c r="I110" i="8"/>
  <c r="K109" i="8"/>
  <c r="K105" i="8"/>
  <c r="M105" i="8" s="1"/>
  <c r="I105" i="8"/>
  <c r="J105" i="8" s="1"/>
  <c r="K102" i="8"/>
  <c r="M102" i="8" s="1"/>
  <c r="I102" i="8"/>
  <c r="K101" i="8"/>
  <c r="M101" i="8" s="1"/>
  <c r="K98" i="8"/>
  <c r="M98" i="8" s="1"/>
  <c r="J96" i="8"/>
  <c r="K94" i="8"/>
  <c r="M94" i="8" s="1"/>
  <c r="L88" i="8"/>
  <c r="J86" i="8"/>
  <c r="J85" i="8"/>
  <c r="L84" i="8"/>
  <c r="J82" i="8"/>
  <c r="M79" i="8"/>
  <c r="J78" i="8"/>
  <c r="K75" i="8"/>
  <c r="M75" i="8" s="1"/>
  <c r="K71" i="8"/>
  <c r="M71" i="8" s="1"/>
  <c r="I71" i="8"/>
  <c r="J71" i="8" s="1"/>
  <c r="K68" i="8"/>
  <c r="M68" i="8" s="1"/>
  <c r="J66" i="8"/>
  <c r="K65" i="8"/>
  <c r="M65" i="8" s="1"/>
  <c r="J64" i="8"/>
  <c r="K62" i="8"/>
  <c r="M62" i="8" s="1"/>
  <c r="J56" i="8"/>
  <c r="K55" i="8"/>
  <c r="M55" i="8" s="1"/>
  <c r="J53" i="8"/>
  <c r="K52" i="8"/>
  <c r="M52" i="8" s="1"/>
  <c r="K49" i="8"/>
  <c r="M49" i="8" s="1"/>
  <c r="K44" i="8"/>
  <c r="J42" i="8"/>
  <c r="K41" i="8"/>
  <c r="M41" i="8" s="1"/>
  <c r="K38" i="8"/>
  <c r="M38" i="8" s="1"/>
  <c r="K35" i="8"/>
  <c r="M35" i="8" s="1"/>
  <c r="K31" i="8"/>
  <c r="M31" i="8" s="1"/>
  <c r="K30" i="8"/>
  <c r="M30" i="8" s="1"/>
  <c r="J34" i="1"/>
  <c r="L34" i="1" s="1"/>
  <c r="I27" i="8"/>
  <c r="J27" i="8" s="1"/>
  <c r="K26" i="8"/>
  <c r="M26" i="8" s="1"/>
  <c r="K25" i="8"/>
  <c r="M25" i="8" s="1"/>
  <c r="K22" i="8"/>
  <c r="M22" i="8" s="1"/>
  <c r="I22" i="8"/>
  <c r="J22" i="8" s="1"/>
  <c r="K21" i="8"/>
  <c r="M21" i="8" s="1"/>
  <c r="K20" i="8"/>
  <c r="M20" i="8" s="1"/>
  <c r="K17" i="8"/>
  <c r="M17" i="8" s="1"/>
  <c r="I17" i="8"/>
  <c r="J17" i="8" s="1"/>
  <c r="K16" i="8"/>
  <c r="M16" i="8" s="1"/>
  <c r="K15" i="8"/>
  <c r="M15" i="8" s="1"/>
  <c r="K14" i="8"/>
  <c r="M14" i="8" s="1"/>
  <c r="K90" i="7"/>
  <c r="K85" i="7"/>
  <c r="J79" i="7"/>
  <c r="K78" i="7"/>
  <c r="K76" i="7"/>
  <c r="K73" i="7"/>
  <c r="K70" i="7"/>
  <c r="J55" i="7"/>
  <c r="K54" i="7"/>
  <c r="M54" i="7" s="1"/>
  <c r="J53" i="7"/>
  <c r="K52" i="7"/>
  <c r="M52" i="7" s="1"/>
  <c r="K49" i="7"/>
  <c r="M49" i="7" s="1"/>
  <c r="J43" i="7"/>
  <c r="K42" i="7"/>
  <c r="J41" i="7"/>
  <c r="K40" i="7"/>
  <c r="M40" i="7" s="1"/>
  <c r="J38" i="7"/>
  <c r="K37" i="7"/>
  <c r="M34" i="7"/>
  <c r="K25" i="7"/>
  <c r="M25" i="7" s="1"/>
  <c r="M17" i="7"/>
  <c r="K33" i="6"/>
  <c r="K31" i="6"/>
  <c r="K28" i="6"/>
  <c r="K26" i="6"/>
  <c r="J132" i="6"/>
  <c r="K131" i="6"/>
  <c r="K100" i="6"/>
  <c r="J98" i="6"/>
  <c r="K97" i="6"/>
  <c r="K95" i="6"/>
  <c r="K127" i="6"/>
  <c r="M127" i="6" s="1"/>
  <c r="K123" i="6"/>
  <c r="K122" i="6" s="1"/>
  <c r="K119" i="6"/>
  <c r="K115" i="6"/>
  <c r="K66" i="5"/>
  <c r="I66" i="5" s="1"/>
  <c r="I62" i="4"/>
  <c r="D62" i="4"/>
  <c r="D60" i="4" s="1"/>
  <c r="D59" i="4" s="1"/>
  <c r="I61" i="4"/>
  <c r="J61" i="4" s="1"/>
  <c r="K60" i="4"/>
  <c r="G60" i="4"/>
  <c r="G59" i="4" s="1"/>
  <c r="F60" i="4"/>
  <c r="F59" i="4" s="1"/>
  <c r="E60" i="4"/>
  <c r="E59" i="4" s="1"/>
  <c r="K59" i="4"/>
  <c r="D58" i="4"/>
  <c r="F57" i="4"/>
  <c r="E57" i="4"/>
  <c r="I56" i="4"/>
  <c r="I55" i="4"/>
  <c r="I54" i="4"/>
  <c r="I53" i="4"/>
  <c r="G51" i="4"/>
  <c r="M48" i="4"/>
  <c r="H48" i="4"/>
  <c r="M45" i="4"/>
  <c r="D44" i="4"/>
  <c r="D43" i="4" s="1"/>
  <c r="M43" i="4"/>
  <c r="H43" i="4"/>
  <c r="H39" i="4"/>
  <c r="D36" i="4"/>
  <c r="J36" i="4" s="1"/>
  <c r="K35" i="4"/>
  <c r="H35" i="4"/>
  <c r="H34" i="4" s="1"/>
  <c r="F35" i="4"/>
  <c r="F34" i="4" s="1"/>
  <c r="E35" i="4"/>
  <c r="E34" i="4" s="1"/>
  <c r="K34" i="4"/>
  <c r="D33" i="4"/>
  <c r="K32" i="4"/>
  <c r="H32" i="4"/>
  <c r="F32" i="4"/>
  <c r="E32" i="4"/>
  <c r="I31" i="4"/>
  <c r="K29" i="4"/>
  <c r="H29" i="4"/>
  <c r="F29" i="4"/>
  <c r="K24" i="4"/>
  <c r="G71" i="1"/>
  <c r="F71" i="1"/>
  <c r="E71" i="1"/>
  <c r="D71" i="1"/>
  <c r="D24" i="4"/>
  <c r="F70" i="1"/>
  <c r="E70" i="1"/>
  <c r="D70" i="1"/>
  <c r="K18" i="4"/>
  <c r="G62" i="1"/>
  <c r="F62" i="1"/>
  <c r="E62" i="1"/>
  <c r="D18" i="4"/>
  <c r="G63" i="1"/>
  <c r="F63" i="1"/>
  <c r="E63" i="1"/>
  <c r="D63" i="1"/>
  <c r="I200" i="3"/>
  <c r="D200" i="3"/>
  <c r="K199" i="3"/>
  <c r="H199" i="3"/>
  <c r="G199" i="3"/>
  <c r="E199" i="3"/>
  <c r="I198" i="3"/>
  <c r="D198" i="3"/>
  <c r="D197" i="3" s="1"/>
  <c r="K197" i="3"/>
  <c r="H197" i="3"/>
  <c r="G197" i="3"/>
  <c r="E197" i="3"/>
  <c r="E196" i="3" s="1"/>
  <c r="D195" i="3"/>
  <c r="D194" i="3" s="1"/>
  <c r="K194" i="3"/>
  <c r="H194" i="3"/>
  <c r="G194" i="3"/>
  <c r="E194" i="3"/>
  <c r="D193" i="3"/>
  <c r="I192" i="3"/>
  <c r="D192" i="3"/>
  <c r="K191" i="3"/>
  <c r="I191" i="3"/>
  <c r="J191" i="3" s="1"/>
  <c r="H191" i="3"/>
  <c r="G191" i="3"/>
  <c r="E191" i="3"/>
  <c r="I188" i="3"/>
  <c r="D188" i="3"/>
  <c r="K187" i="3"/>
  <c r="H187" i="3"/>
  <c r="G187" i="3"/>
  <c r="E187" i="3"/>
  <c r="I186" i="3"/>
  <c r="D186" i="3"/>
  <c r="D185" i="3" s="1"/>
  <c r="K185" i="3"/>
  <c r="H185" i="3"/>
  <c r="G185" i="3"/>
  <c r="E185" i="3"/>
  <c r="D183" i="3"/>
  <c r="K182" i="3"/>
  <c r="H182" i="3"/>
  <c r="G182" i="3"/>
  <c r="E182" i="3"/>
  <c r="D181" i="3"/>
  <c r="I180" i="3"/>
  <c r="J180" i="3" s="1"/>
  <c r="D180" i="3"/>
  <c r="K179" i="3"/>
  <c r="I179" i="3"/>
  <c r="J179" i="3" s="1"/>
  <c r="H179" i="3"/>
  <c r="G179" i="3"/>
  <c r="E179" i="3"/>
  <c r="H175" i="3"/>
  <c r="E175" i="3"/>
  <c r="G175" i="3"/>
  <c r="M175" i="3" s="1"/>
  <c r="F175" i="3"/>
  <c r="H173" i="3"/>
  <c r="K173" i="3"/>
  <c r="G173" i="3"/>
  <c r="F173" i="3"/>
  <c r="K170" i="3"/>
  <c r="H170" i="3"/>
  <c r="G170" i="3"/>
  <c r="F170" i="3"/>
  <c r="H167" i="3"/>
  <c r="I168" i="3"/>
  <c r="D168" i="3"/>
  <c r="K167" i="3"/>
  <c r="G167" i="3"/>
  <c r="F167" i="3"/>
  <c r="E151" i="3"/>
  <c r="K151" i="3"/>
  <c r="H151" i="3"/>
  <c r="G151" i="3"/>
  <c r="F151" i="3"/>
  <c r="I150" i="3"/>
  <c r="K149" i="3"/>
  <c r="H149" i="3"/>
  <c r="G149" i="3"/>
  <c r="F149" i="3"/>
  <c r="K146" i="3"/>
  <c r="H146" i="3"/>
  <c r="G146" i="3"/>
  <c r="F146" i="3"/>
  <c r="I145" i="3"/>
  <c r="K143" i="3"/>
  <c r="H143" i="3"/>
  <c r="G143" i="3"/>
  <c r="F143" i="3"/>
  <c r="H139" i="3"/>
  <c r="K139" i="3"/>
  <c r="G139" i="3"/>
  <c r="F139" i="3"/>
  <c r="E139" i="3"/>
  <c r="H137" i="3"/>
  <c r="K137" i="3"/>
  <c r="G137" i="3"/>
  <c r="F137" i="3"/>
  <c r="H134" i="3"/>
  <c r="K134" i="3"/>
  <c r="G134" i="3"/>
  <c r="F134" i="3"/>
  <c r="E134" i="3"/>
  <c r="H131" i="3"/>
  <c r="D132" i="3"/>
  <c r="J132" i="3" s="1"/>
  <c r="K131" i="3"/>
  <c r="G131" i="3"/>
  <c r="F131" i="3"/>
  <c r="F46" i="3"/>
  <c r="E46" i="3"/>
  <c r="D45" i="3"/>
  <c r="D44" i="3" s="1"/>
  <c r="K44" i="3"/>
  <c r="G44" i="3"/>
  <c r="E44" i="3"/>
  <c r="E43" i="3" s="1"/>
  <c r="G43" i="3"/>
  <c r="D42" i="3"/>
  <c r="D41" i="3" s="1"/>
  <c r="G41" i="3"/>
  <c r="M41" i="3" s="1"/>
  <c r="E41" i="3"/>
  <c r="E39" i="3"/>
  <c r="K39" i="3"/>
  <c r="G39" i="3"/>
  <c r="F39" i="3"/>
  <c r="K106" i="3"/>
  <c r="H106" i="3"/>
  <c r="G106" i="3"/>
  <c r="M106" i="3" s="1"/>
  <c r="F106" i="3"/>
  <c r="K104" i="3"/>
  <c r="H104" i="3"/>
  <c r="G104" i="3"/>
  <c r="M104" i="3" s="1"/>
  <c r="F104" i="3"/>
  <c r="K101" i="3"/>
  <c r="G101" i="3"/>
  <c r="F101" i="3"/>
  <c r="K98" i="3"/>
  <c r="H98" i="3"/>
  <c r="G98" i="3"/>
  <c r="M98" i="3" s="1"/>
  <c r="F98" i="3"/>
  <c r="K82" i="3"/>
  <c r="H82" i="3"/>
  <c r="G82" i="3"/>
  <c r="F82" i="3"/>
  <c r="K80" i="3"/>
  <c r="H80" i="3"/>
  <c r="G80" i="3"/>
  <c r="F80" i="3"/>
  <c r="K77" i="3"/>
  <c r="H77" i="3"/>
  <c r="G77" i="3"/>
  <c r="F77" i="3"/>
  <c r="H74" i="3"/>
  <c r="G74" i="3"/>
  <c r="M74" i="3" s="1"/>
  <c r="F74" i="3"/>
  <c r="E74" i="3"/>
  <c r="J164" i="3"/>
  <c r="H163" i="3"/>
  <c r="G163" i="3"/>
  <c r="M163" i="3" s="1"/>
  <c r="F163" i="3"/>
  <c r="I162" i="3"/>
  <c r="H161" i="3"/>
  <c r="G161" i="3"/>
  <c r="F161" i="3"/>
  <c r="H158" i="3"/>
  <c r="G158" i="3"/>
  <c r="M158" i="3" s="1"/>
  <c r="F158" i="3"/>
  <c r="H155" i="3"/>
  <c r="G155" i="3"/>
  <c r="M155" i="3" s="1"/>
  <c r="F155" i="3"/>
  <c r="K70" i="3"/>
  <c r="H70" i="3"/>
  <c r="G70" i="3"/>
  <c r="F70" i="3"/>
  <c r="K68" i="3"/>
  <c r="H68" i="3"/>
  <c r="G68" i="3"/>
  <c r="F68" i="3"/>
  <c r="K65" i="3"/>
  <c r="H65" i="3"/>
  <c r="G65" i="3"/>
  <c r="F65" i="3"/>
  <c r="D63" i="3"/>
  <c r="K62" i="3"/>
  <c r="H62" i="3"/>
  <c r="H61" i="3" s="1"/>
  <c r="G62" i="3"/>
  <c r="F62" i="3"/>
  <c r="D59" i="3"/>
  <c r="K58" i="3"/>
  <c r="H58" i="3"/>
  <c r="G58" i="3"/>
  <c r="F58" i="3"/>
  <c r="E58" i="3"/>
  <c r="D58" i="3"/>
  <c r="D57" i="3"/>
  <c r="K56" i="3"/>
  <c r="G56" i="3"/>
  <c r="F56" i="3"/>
  <c r="E56" i="3"/>
  <c r="D54" i="3"/>
  <c r="K53" i="3"/>
  <c r="H53" i="3"/>
  <c r="G53" i="3"/>
  <c r="L53" i="3" s="1"/>
  <c r="F53" i="3"/>
  <c r="E53" i="3"/>
  <c r="D53" i="3"/>
  <c r="D52" i="3"/>
  <c r="K50" i="3"/>
  <c r="H50" i="3"/>
  <c r="G50" i="3"/>
  <c r="L50" i="3" s="1"/>
  <c r="F50" i="3"/>
  <c r="E50" i="3"/>
  <c r="I36" i="3"/>
  <c r="D36" i="3"/>
  <c r="K35" i="3"/>
  <c r="K34" i="3" s="1"/>
  <c r="H35" i="3"/>
  <c r="H34" i="3" s="1"/>
  <c r="G35" i="3"/>
  <c r="G34" i="3" s="1"/>
  <c r="F35" i="3"/>
  <c r="F34" i="3" s="1"/>
  <c r="E35" i="3"/>
  <c r="E34" i="3" s="1"/>
  <c r="D35" i="3"/>
  <c r="D34" i="3" s="1"/>
  <c r="D33" i="3"/>
  <c r="K32" i="3"/>
  <c r="H32" i="3"/>
  <c r="G32" i="3"/>
  <c r="M32" i="3" s="1"/>
  <c r="F32" i="3"/>
  <c r="E32" i="3"/>
  <c r="D32" i="3"/>
  <c r="J32" i="3" s="1"/>
  <c r="K31" i="3"/>
  <c r="H31" i="3"/>
  <c r="G31" i="3"/>
  <c r="F31" i="3"/>
  <c r="E31" i="3"/>
  <c r="D31" i="3"/>
  <c r="H21" i="3"/>
  <c r="G21" i="3"/>
  <c r="F21" i="3"/>
  <c r="E21" i="3"/>
  <c r="G19" i="3"/>
  <c r="F19" i="3"/>
  <c r="H16" i="3"/>
  <c r="G16" i="3"/>
  <c r="F16" i="3"/>
  <c r="E16" i="3"/>
  <c r="D484" i="2"/>
  <c r="D483" i="2" s="1"/>
  <c r="D482" i="2" s="1"/>
  <c r="K483" i="2"/>
  <c r="H483" i="2"/>
  <c r="H482" i="2" s="1"/>
  <c r="G483" i="2"/>
  <c r="G482" i="2" s="1"/>
  <c r="F483" i="2"/>
  <c r="F482" i="2" s="1"/>
  <c r="E483" i="2"/>
  <c r="E482" i="2" s="1"/>
  <c r="I480" i="2"/>
  <c r="D480" i="2"/>
  <c r="D479" i="2" s="1"/>
  <c r="D478" i="2" s="1"/>
  <c r="K479" i="2"/>
  <c r="H479" i="2"/>
  <c r="H478" i="2" s="1"/>
  <c r="G479" i="2"/>
  <c r="G478" i="2" s="1"/>
  <c r="E479" i="2"/>
  <c r="E478" i="2" s="1"/>
  <c r="I477" i="2"/>
  <c r="D477" i="2"/>
  <c r="D476" i="2"/>
  <c r="K475" i="2"/>
  <c r="H475" i="2"/>
  <c r="H474" i="2" s="1"/>
  <c r="G475" i="2"/>
  <c r="G474" i="2" s="1"/>
  <c r="F475" i="2"/>
  <c r="F474" i="2" s="1"/>
  <c r="D472" i="2"/>
  <c r="D471" i="2" s="1"/>
  <c r="D470" i="2" s="1"/>
  <c r="K471" i="2"/>
  <c r="H471" i="2"/>
  <c r="H470" i="2" s="1"/>
  <c r="G471" i="2"/>
  <c r="G470" i="2" s="1"/>
  <c r="F471" i="2"/>
  <c r="F470" i="2" s="1"/>
  <c r="J492" i="2"/>
  <c r="K491" i="2"/>
  <c r="H491" i="2"/>
  <c r="H490" i="2" s="1"/>
  <c r="G491" i="2"/>
  <c r="G490" i="2" s="1"/>
  <c r="F491" i="2"/>
  <c r="F490" i="2" s="1"/>
  <c r="E491" i="2"/>
  <c r="E490" i="2" s="1"/>
  <c r="J489" i="2"/>
  <c r="D488" i="2"/>
  <c r="K487" i="2"/>
  <c r="H487" i="2"/>
  <c r="H486" i="2" s="1"/>
  <c r="G487" i="2"/>
  <c r="G486" i="2" s="1"/>
  <c r="E486" i="2"/>
  <c r="I467" i="2"/>
  <c r="J468" i="2"/>
  <c r="K467" i="2"/>
  <c r="H467" i="2"/>
  <c r="H466" i="2" s="1"/>
  <c r="G467" i="2"/>
  <c r="F467" i="2"/>
  <c r="F466" i="2" s="1"/>
  <c r="G466" i="2"/>
  <c r="K459" i="2"/>
  <c r="H459" i="2"/>
  <c r="H458" i="2" s="1"/>
  <c r="G459" i="2"/>
  <c r="G458" i="2" s="1"/>
  <c r="E436" i="2"/>
  <c r="D62" i="1" s="1"/>
  <c r="H455" i="2"/>
  <c r="H454" i="2" s="1"/>
  <c r="G455" i="2"/>
  <c r="I452" i="2"/>
  <c r="D452" i="2"/>
  <c r="D442" i="2" s="1"/>
  <c r="C72" i="1" s="1"/>
  <c r="I451" i="2"/>
  <c r="D451" i="2"/>
  <c r="D440" i="2" s="1"/>
  <c r="H450" i="2"/>
  <c r="H449" i="2" s="1"/>
  <c r="G450" i="2"/>
  <c r="M450" i="2" s="1"/>
  <c r="F450" i="2"/>
  <c r="F449" i="2" s="1"/>
  <c r="E450" i="2"/>
  <c r="E449" i="2" s="1"/>
  <c r="D448" i="2"/>
  <c r="D437" i="2" s="1"/>
  <c r="C59" i="1" s="1"/>
  <c r="D447" i="2"/>
  <c r="J447" i="2" s="1"/>
  <c r="I446" i="2"/>
  <c r="D446" i="2"/>
  <c r="K445" i="2"/>
  <c r="H445" i="2"/>
  <c r="H444" i="2" s="1"/>
  <c r="H431" i="2" s="1"/>
  <c r="G55" i="1" s="1"/>
  <c r="G445" i="2"/>
  <c r="G444" i="2" s="1"/>
  <c r="D400" i="2"/>
  <c r="D397" i="2"/>
  <c r="D381" i="2" s="1"/>
  <c r="I396" i="2"/>
  <c r="D396" i="2"/>
  <c r="D380" i="2" s="1"/>
  <c r="D28" i="2" s="1"/>
  <c r="K395" i="2"/>
  <c r="H395" i="2"/>
  <c r="H394" i="2" s="1"/>
  <c r="G395" i="2"/>
  <c r="G394" i="2" s="1"/>
  <c r="F395" i="2"/>
  <c r="F394" i="2" s="1"/>
  <c r="E395" i="2"/>
  <c r="E394" i="2" s="1"/>
  <c r="D393" i="2"/>
  <c r="D375" i="2" s="1"/>
  <c r="H391" i="2"/>
  <c r="G391" i="2"/>
  <c r="M391" i="2" s="1"/>
  <c r="F391" i="2"/>
  <c r="E391" i="2"/>
  <c r="D390" i="2"/>
  <c r="J390" i="2" s="1"/>
  <c r="D389" i="2"/>
  <c r="J389" i="2" s="1"/>
  <c r="D388" i="2"/>
  <c r="J388" i="2" s="1"/>
  <c r="H387" i="2"/>
  <c r="G387" i="2"/>
  <c r="M387" i="2" s="1"/>
  <c r="F387" i="2"/>
  <c r="E387" i="2"/>
  <c r="H382" i="2"/>
  <c r="F382" i="2"/>
  <c r="E382" i="2"/>
  <c r="H381" i="2"/>
  <c r="G381" i="2"/>
  <c r="M381" i="2" s="1"/>
  <c r="F381" i="2"/>
  <c r="E381" i="2"/>
  <c r="K380" i="2"/>
  <c r="H380" i="2"/>
  <c r="H28" i="2" s="1"/>
  <c r="G30" i="1" s="1"/>
  <c r="G380" i="2"/>
  <c r="G28" i="2" s="1"/>
  <c r="F380" i="2"/>
  <c r="F28" i="2" s="1"/>
  <c r="E30" i="1" s="1"/>
  <c r="E380" i="2"/>
  <c r="E28" i="2" s="1"/>
  <c r="D30" i="1" s="1"/>
  <c r="I375" i="2"/>
  <c r="H375" i="2"/>
  <c r="G375" i="2"/>
  <c r="E375" i="2"/>
  <c r="K374" i="2"/>
  <c r="I374" i="2"/>
  <c r="H374" i="2"/>
  <c r="G374" i="2"/>
  <c r="F374" i="2"/>
  <c r="F19" i="2" s="1"/>
  <c r="E20" i="1" s="1"/>
  <c r="E374" i="2"/>
  <c r="D374" i="2"/>
  <c r="K373" i="2"/>
  <c r="I373" i="2"/>
  <c r="H373" i="2"/>
  <c r="G373" i="2"/>
  <c r="G17" i="2" s="1"/>
  <c r="F17" i="1" s="1"/>
  <c r="F373" i="2"/>
  <c r="E373" i="2"/>
  <c r="E17" i="2" s="1"/>
  <c r="D17" i="1" s="1"/>
  <c r="I367" i="2"/>
  <c r="E367" i="2"/>
  <c r="E366" i="2" s="1"/>
  <c r="D367" i="2"/>
  <c r="D366" i="2" s="1"/>
  <c r="I364" i="2"/>
  <c r="E364" i="2"/>
  <c r="D364" i="2"/>
  <c r="I362" i="2"/>
  <c r="I361" i="2" s="1"/>
  <c r="E362" i="2"/>
  <c r="D362" i="2"/>
  <c r="D361" i="2" s="1"/>
  <c r="I359" i="2"/>
  <c r="D359" i="2"/>
  <c r="D358" i="2" s="1"/>
  <c r="D357" i="2" s="1"/>
  <c r="K358" i="2"/>
  <c r="M358" i="2" s="1"/>
  <c r="H358" i="2"/>
  <c r="H357" i="2" s="1"/>
  <c r="F358" i="2"/>
  <c r="F357" i="2" s="1"/>
  <c r="I356" i="2"/>
  <c r="K355" i="2"/>
  <c r="M355" i="2" s="1"/>
  <c r="G355" i="2"/>
  <c r="F355" i="2"/>
  <c r="K353" i="2"/>
  <c r="H353" i="2"/>
  <c r="H352" i="2" s="1"/>
  <c r="G353" i="2"/>
  <c r="F353" i="2"/>
  <c r="I323" i="2"/>
  <c r="K349" i="2"/>
  <c r="H349" i="2"/>
  <c r="H348" i="2" s="1"/>
  <c r="G349" i="2"/>
  <c r="G348" i="2" s="1"/>
  <c r="D349" i="2"/>
  <c r="D348" i="2" s="1"/>
  <c r="D347" i="2"/>
  <c r="K346" i="2"/>
  <c r="G346" i="2"/>
  <c r="F346" i="2"/>
  <c r="D345" i="2"/>
  <c r="D344" i="2" s="1"/>
  <c r="K344" i="2"/>
  <c r="G344" i="2"/>
  <c r="F344" i="2"/>
  <c r="D341" i="2"/>
  <c r="J341" i="2" s="1"/>
  <c r="K340" i="2"/>
  <c r="M340" i="2" s="1"/>
  <c r="I340" i="2"/>
  <c r="H340" i="2"/>
  <c r="H339" i="2" s="1"/>
  <c r="E340" i="2"/>
  <c r="E339" i="2" s="1"/>
  <c r="K339" i="2"/>
  <c r="M339" i="2" s="1"/>
  <c r="I338" i="2"/>
  <c r="D338" i="2"/>
  <c r="D337" i="2" s="1"/>
  <c r="K337" i="2"/>
  <c r="G337" i="2"/>
  <c r="E337" i="2"/>
  <c r="K335" i="2"/>
  <c r="M335" i="2" s="1"/>
  <c r="G335" i="2"/>
  <c r="F335" i="2"/>
  <c r="E335" i="2"/>
  <c r="K323" i="2"/>
  <c r="H323" i="2"/>
  <c r="H35" i="2" s="1"/>
  <c r="G323" i="2"/>
  <c r="G35" i="2" s="1"/>
  <c r="F323" i="2"/>
  <c r="F35" i="2" s="1"/>
  <c r="E40" i="1" s="1"/>
  <c r="E323" i="2"/>
  <c r="K320" i="2"/>
  <c r="H320" i="2"/>
  <c r="H319" i="2" s="1"/>
  <c r="G320" i="2"/>
  <c r="G24" i="2" s="1"/>
  <c r="F25" i="1" s="1"/>
  <c r="F320" i="2"/>
  <c r="F319" i="2" s="1"/>
  <c r="E320" i="2"/>
  <c r="E24" i="2" s="1"/>
  <c r="D25" i="1" s="1"/>
  <c r="G319" i="2"/>
  <c r="K318" i="2"/>
  <c r="K16" i="2" s="1"/>
  <c r="H318" i="2"/>
  <c r="H317" i="2" s="1"/>
  <c r="G318" i="2"/>
  <c r="G317" i="2" s="1"/>
  <c r="F318" i="2"/>
  <c r="F317" i="2" s="1"/>
  <c r="E318" i="2"/>
  <c r="E317" i="2" s="1"/>
  <c r="D305" i="2"/>
  <c r="J305" i="2" s="1"/>
  <c r="F304" i="2"/>
  <c r="F303" i="2" s="1"/>
  <c r="E304" i="2"/>
  <c r="E303" i="2" s="1"/>
  <c r="D302" i="2"/>
  <c r="J302" i="2" s="1"/>
  <c r="H301" i="2"/>
  <c r="H300" i="2" s="1"/>
  <c r="G301" i="2"/>
  <c r="M301" i="2" s="1"/>
  <c r="F301" i="2"/>
  <c r="F300" i="2" s="1"/>
  <c r="E301" i="2"/>
  <c r="E300" i="2" s="1"/>
  <c r="I298" i="2"/>
  <c r="D298" i="2"/>
  <c r="D297" i="2" s="1"/>
  <c r="D296" i="2" s="1"/>
  <c r="K297" i="2"/>
  <c r="H297" i="2"/>
  <c r="H296" i="2" s="1"/>
  <c r="G297" i="2"/>
  <c r="F297" i="2"/>
  <c r="F295" i="2"/>
  <c r="K294" i="2"/>
  <c r="H294" i="2"/>
  <c r="G294" i="2"/>
  <c r="K292" i="2"/>
  <c r="H292" i="2"/>
  <c r="G292" i="2"/>
  <c r="I289" i="2"/>
  <c r="D289" i="2"/>
  <c r="D288" i="2" s="1"/>
  <c r="D287" i="2" s="1"/>
  <c r="K288" i="2"/>
  <c r="H288" i="2"/>
  <c r="H287" i="2" s="1"/>
  <c r="G288" i="2"/>
  <c r="F288" i="2"/>
  <c r="I286" i="2"/>
  <c r="D286" i="2"/>
  <c r="D285" i="2" s="1"/>
  <c r="K285" i="2"/>
  <c r="H285" i="2"/>
  <c r="G285" i="2"/>
  <c r="F285" i="2"/>
  <c r="E285" i="2"/>
  <c r="I284" i="2"/>
  <c r="D284" i="2"/>
  <c r="D283" i="2" s="1"/>
  <c r="K283" i="2"/>
  <c r="H283" i="2"/>
  <c r="G283" i="2"/>
  <c r="F283" i="2"/>
  <c r="E283" i="2"/>
  <c r="I280" i="2"/>
  <c r="D280" i="2"/>
  <c r="D279" i="2" s="1"/>
  <c r="D278" i="2" s="1"/>
  <c r="K279" i="2"/>
  <c r="H279" i="2"/>
  <c r="H278" i="2" s="1"/>
  <c r="G279" i="2"/>
  <c r="F279" i="2"/>
  <c r="F278" i="2" s="1"/>
  <c r="E278" i="2"/>
  <c r="I277" i="2"/>
  <c r="I276" i="2" s="1"/>
  <c r="D277" i="2"/>
  <c r="K276" i="2"/>
  <c r="H276" i="2"/>
  <c r="G276" i="2"/>
  <c r="F276" i="2"/>
  <c r="E276" i="2"/>
  <c r="D276" i="2"/>
  <c r="D275" i="2"/>
  <c r="D274" i="2" s="1"/>
  <c r="K274" i="2"/>
  <c r="H274" i="2"/>
  <c r="G274" i="2"/>
  <c r="F274" i="2"/>
  <c r="E274" i="2"/>
  <c r="I271" i="2"/>
  <c r="D271" i="2"/>
  <c r="K270" i="2"/>
  <c r="H270" i="2"/>
  <c r="H269" i="2" s="1"/>
  <c r="G270" i="2"/>
  <c r="M270" i="2" s="1"/>
  <c r="F270" i="2"/>
  <c r="G269" i="2"/>
  <c r="I268" i="2"/>
  <c r="D268" i="2"/>
  <c r="H267" i="2"/>
  <c r="G267" i="2"/>
  <c r="M267" i="2" s="1"/>
  <c r="F267" i="2"/>
  <c r="F264" i="2" s="1"/>
  <c r="E267" i="2"/>
  <c r="D266" i="2"/>
  <c r="K265" i="2"/>
  <c r="H265" i="2"/>
  <c r="G265" i="2"/>
  <c r="E265" i="2"/>
  <c r="D262" i="2"/>
  <c r="D261" i="2" s="1"/>
  <c r="D260" i="2" s="1"/>
  <c r="K261" i="2"/>
  <c r="M261" i="2" s="1"/>
  <c r="H261" i="2"/>
  <c r="H260" i="2" s="1"/>
  <c r="D259" i="2"/>
  <c r="D258" i="2" s="1"/>
  <c r="K258" i="2"/>
  <c r="H258" i="2"/>
  <c r="G258" i="2"/>
  <c r="E258" i="2"/>
  <c r="D257" i="2"/>
  <c r="D256" i="2" s="1"/>
  <c r="K256" i="2"/>
  <c r="H256" i="2"/>
  <c r="G256" i="2"/>
  <c r="E256" i="2"/>
  <c r="D253" i="2"/>
  <c r="J253" i="2" s="1"/>
  <c r="H252" i="2"/>
  <c r="H249" i="2" s="1"/>
  <c r="D247" i="2"/>
  <c r="K247" i="2"/>
  <c r="H247" i="2"/>
  <c r="G247" i="2"/>
  <c r="E247" i="2"/>
  <c r="D245" i="2"/>
  <c r="K245" i="2"/>
  <c r="H245" i="2"/>
  <c r="G245" i="2"/>
  <c r="E245" i="2"/>
  <c r="I242" i="2"/>
  <c r="D242" i="2"/>
  <c r="D241" i="2" s="1"/>
  <c r="K241" i="2"/>
  <c r="H241" i="2"/>
  <c r="G241" i="2"/>
  <c r="D240" i="2"/>
  <c r="K239" i="2"/>
  <c r="H239" i="2"/>
  <c r="G239" i="2"/>
  <c r="I237" i="2"/>
  <c r="D237" i="2"/>
  <c r="D236" i="2" s="1"/>
  <c r="K236" i="2"/>
  <c r="H236" i="2"/>
  <c r="G236" i="2"/>
  <c r="E236" i="2"/>
  <c r="I235" i="2"/>
  <c r="D235" i="2"/>
  <c r="D234" i="2"/>
  <c r="K233" i="2"/>
  <c r="H233" i="2"/>
  <c r="H232" i="2" s="1"/>
  <c r="G233" i="2"/>
  <c r="G232" i="2" s="1"/>
  <c r="E233" i="2"/>
  <c r="D230" i="2"/>
  <c r="J230" i="2" s="1"/>
  <c r="K229" i="2"/>
  <c r="M229" i="2" s="1"/>
  <c r="H229" i="2"/>
  <c r="H228" i="2" s="1"/>
  <c r="E229" i="2"/>
  <c r="E228" i="2" s="1"/>
  <c r="D227" i="2"/>
  <c r="D226" i="2" s="1"/>
  <c r="K226" i="2"/>
  <c r="H226" i="2"/>
  <c r="G226" i="2"/>
  <c r="D225" i="2"/>
  <c r="D224" i="2" s="1"/>
  <c r="K224" i="2"/>
  <c r="H224" i="2"/>
  <c r="G224" i="2"/>
  <c r="I221" i="2"/>
  <c r="D221" i="2"/>
  <c r="D220" i="2" s="1"/>
  <c r="K220" i="2"/>
  <c r="H220" i="2"/>
  <c r="G220" i="2"/>
  <c r="G217" i="2" s="1"/>
  <c r="E220" i="2"/>
  <c r="E217" i="2" s="1"/>
  <c r="I219" i="2"/>
  <c r="D219" i="2"/>
  <c r="D218" i="2" s="1"/>
  <c r="K218" i="2"/>
  <c r="M218" i="2" s="1"/>
  <c r="H218" i="2"/>
  <c r="F218" i="2"/>
  <c r="F217" i="2" s="1"/>
  <c r="K215" i="2"/>
  <c r="H215" i="2"/>
  <c r="G215" i="2"/>
  <c r="F215" i="2"/>
  <c r="E215" i="2"/>
  <c r="I214" i="2"/>
  <c r="D214" i="2"/>
  <c r="I213" i="2"/>
  <c r="K212" i="2"/>
  <c r="H212" i="2"/>
  <c r="H211" i="2" s="1"/>
  <c r="G212" i="2"/>
  <c r="G211" i="2" s="1"/>
  <c r="F212" i="2"/>
  <c r="F211" i="2" s="1"/>
  <c r="E212" i="2"/>
  <c r="E211" i="2" s="1"/>
  <c r="D209" i="2"/>
  <c r="K208" i="2"/>
  <c r="H208" i="2"/>
  <c r="H207" i="2" s="1"/>
  <c r="G208" i="2"/>
  <c r="E208" i="2"/>
  <c r="E207" i="2" s="1"/>
  <c r="D206" i="2"/>
  <c r="D205" i="2" s="1"/>
  <c r="K205" i="2"/>
  <c r="H205" i="2"/>
  <c r="G205" i="2"/>
  <c r="E205" i="2"/>
  <c r="D204" i="2"/>
  <c r="K203" i="2"/>
  <c r="H203" i="2"/>
  <c r="G203" i="2"/>
  <c r="E203" i="2"/>
  <c r="I200" i="2"/>
  <c r="D200" i="2"/>
  <c r="D199" i="2" s="1"/>
  <c r="K199" i="2"/>
  <c r="H199" i="2"/>
  <c r="G199" i="2"/>
  <c r="I198" i="2"/>
  <c r="D198" i="2"/>
  <c r="D197" i="2" s="1"/>
  <c r="K197" i="2"/>
  <c r="H197" i="2"/>
  <c r="G197" i="2"/>
  <c r="K194" i="2"/>
  <c r="H194" i="2"/>
  <c r="G194" i="2"/>
  <c r="I193" i="2"/>
  <c r="D193" i="2"/>
  <c r="I192" i="2"/>
  <c r="K191" i="2"/>
  <c r="H191" i="2"/>
  <c r="G191" i="2"/>
  <c r="E191" i="2"/>
  <c r="I188" i="2"/>
  <c r="D188" i="2"/>
  <c r="D187" i="2" s="1"/>
  <c r="K187" i="2"/>
  <c r="H187" i="2"/>
  <c r="G187" i="2"/>
  <c r="E187" i="2"/>
  <c r="E186" i="2"/>
  <c r="E48" i="2" s="1"/>
  <c r="K185" i="2"/>
  <c r="H185" i="2"/>
  <c r="G185" i="2"/>
  <c r="I183" i="2"/>
  <c r="K182" i="2"/>
  <c r="H182" i="2"/>
  <c r="G182" i="2"/>
  <c r="E182" i="2"/>
  <c r="E181" i="2"/>
  <c r="E41" i="2" s="1"/>
  <c r="K179" i="2"/>
  <c r="H179" i="2"/>
  <c r="G179" i="2"/>
  <c r="I176" i="2"/>
  <c r="D176" i="2"/>
  <c r="K175" i="2"/>
  <c r="H175" i="2"/>
  <c r="G175" i="2"/>
  <c r="F175" i="2"/>
  <c r="E175" i="2"/>
  <c r="D175" i="2"/>
  <c r="I174" i="2"/>
  <c r="D174" i="2"/>
  <c r="K173" i="2"/>
  <c r="H173" i="2"/>
  <c r="G173" i="2"/>
  <c r="F173" i="2"/>
  <c r="E173" i="2"/>
  <c r="H172" i="2"/>
  <c r="I171" i="2"/>
  <c r="K170" i="2"/>
  <c r="H170" i="2"/>
  <c r="G170" i="2"/>
  <c r="F170" i="2"/>
  <c r="E170" i="2"/>
  <c r="I169" i="2"/>
  <c r="D169" i="2"/>
  <c r="K167" i="2"/>
  <c r="H167" i="2"/>
  <c r="G167" i="2"/>
  <c r="F167" i="2"/>
  <c r="I164" i="2"/>
  <c r="D164" i="2"/>
  <c r="K163" i="2"/>
  <c r="H163" i="2"/>
  <c r="G163" i="2"/>
  <c r="H162" i="2"/>
  <c r="I161" i="2"/>
  <c r="K160" i="2"/>
  <c r="H160" i="2"/>
  <c r="G160" i="2"/>
  <c r="K158" i="2"/>
  <c r="H158" i="2"/>
  <c r="G158" i="2"/>
  <c r="I155" i="2"/>
  <c r="D155" i="2"/>
  <c r="D154" i="2" s="1"/>
  <c r="K154" i="2"/>
  <c r="H154" i="2"/>
  <c r="G154" i="2"/>
  <c r="E154" i="2"/>
  <c r="I153" i="2"/>
  <c r="D153" i="2"/>
  <c r="D152" i="2" s="1"/>
  <c r="I152" i="2"/>
  <c r="H152" i="2"/>
  <c r="G152" i="2"/>
  <c r="M152" i="2" s="1"/>
  <c r="E152" i="2"/>
  <c r="D150" i="2"/>
  <c r="D149" i="2" s="1"/>
  <c r="K149" i="2"/>
  <c r="G149" i="2"/>
  <c r="E149" i="2"/>
  <c r="D148" i="2"/>
  <c r="D147" i="2"/>
  <c r="K146" i="2"/>
  <c r="G146" i="2"/>
  <c r="E146" i="2"/>
  <c r="I143" i="2"/>
  <c r="D143" i="2"/>
  <c r="I142" i="2"/>
  <c r="D142" i="2"/>
  <c r="K141" i="2"/>
  <c r="H141" i="2"/>
  <c r="G141" i="2"/>
  <c r="I140" i="2"/>
  <c r="D140" i="2"/>
  <c r="D139" i="2" s="1"/>
  <c r="K139" i="2"/>
  <c r="H139" i="2"/>
  <c r="G139" i="2"/>
  <c r="I137" i="2"/>
  <c r="D137" i="2"/>
  <c r="I136" i="2"/>
  <c r="D136" i="2"/>
  <c r="K135" i="2"/>
  <c r="H135" i="2"/>
  <c r="G135" i="2"/>
  <c r="E135" i="2"/>
  <c r="D134" i="2"/>
  <c r="I133" i="2"/>
  <c r="H132" i="2"/>
  <c r="G132" i="2"/>
  <c r="E132" i="2"/>
  <c r="I129" i="2"/>
  <c r="D129" i="2"/>
  <c r="I128" i="2"/>
  <c r="D128" i="2"/>
  <c r="K127" i="2"/>
  <c r="H127" i="2"/>
  <c r="G127" i="2"/>
  <c r="I126" i="2"/>
  <c r="D126" i="2"/>
  <c r="I125" i="2"/>
  <c r="D125" i="2"/>
  <c r="K124" i="2"/>
  <c r="H124" i="2"/>
  <c r="G124" i="2"/>
  <c r="I122" i="2"/>
  <c r="I121" i="2"/>
  <c r="D121" i="2"/>
  <c r="K120" i="2"/>
  <c r="H120" i="2"/>
  <c r="G120" i="2"/>
  <c r="E120" i="2"/>
  <c r="D119" i="2"/>
  <c r="D118" i="2"/>
  <c r="J118" i="2" s="1"/>
  <c r="I117" i="2"/>
  <c r="D117" i="2"/>
  <c r="H116" i="2"/>
  <c r="G116" i="2"/>
  <c r="E116" i="2"/>
  <c r="I113" i="2"/>
  <c r="D113" i="2"/>
  <c r="I112" i="2"/>
  <c r="D112" i="2"/>
  <c r="K111" i="2"/>
  <c r="H111" i="2"/>
  <c r="G111" i="2"/>
  <c r="I110" i="2"/>
  <c r="D110" i="2"/>
  <c r="D109" i="2"/>
  <c r="H108" i="2"/>
  <c r="G108" i="2"/>
  <c r="I105" i="2"/>
  <c r="D105" i="2"/>
  <c r="K104" i="2"/>
  <c r="H104" i="2"/>
  <c r="G104" i="2"/>
  <c r="E104" i="2"/>
  <c r="D103" i="2"/>
  <c r="I102" i="2"/>
  <c r="D102" i="2"/>
  <c r="H100" i="2"/>
  <c r="G100" i="2"/>
  <c r="I97" i="2"/>
  <c r="D97" i="2"/>
  <c r="I96" i="2"/>
  <c r="D96" i="2"/>
  <c r="K95" i="2"/>
  <c r="H95" i="2"/>
  <c r="G95" i="2"/>
  <c r="I94" i="2"/>
  <c r="D94" i="2"/>
  <c r="D93" i="2" s="1"/>
  <c r="K93" i="2"/>
  <c r="H93" i="2"/>
  <c r="G93" i="2"/>
  <c r="E93" i="2"/>
  <c r="E92" i="2" s="1"/>
  <c r="I90" i="2"/>
  <c r="D90" i="2"/>
  <c r="K89" i="2"/>
  <c r="H89" i="2"/>
  <c r="G89" i="2"/>
  <c r="E89" i="2"/>
  <c r="I87" i="2"/>
  <c r="D87" i="2"/>
  <c r="H86" i="2"/>
  <c r="G86" i="2"/>
  <c r="E86" i="2"/>
  <c r="I83" i="2"/>
  <c r="D83" i="2"/>
  <c r="I82" i="2"/>
  <c r="D82" i="2"/>
  <c r="K81" i="2"/>
  <c r="H81" i="2"/>
  <c r="G81" i="2"/>
  <c r="I80" i="2"/>
  <c r="D80" i="2"/>
  <c r="D79" i="2"/>
  <c r="J79" i="2" s="1"/>
  <c r="K78" i="2"/>
  <c r="H78" i="2"/>
  <c r="G78" i="2"/>
  <c r="I75" i="2"/>
  <c r="D75" i="2"/>
  <c r="H74" i="2"/>
  <c r="G74" i="2"/>
  <c r="D72" i="2"/>
  <c r="I71" i="2"/>
  <c r="D71" i="2"/>
  <c r="H70" i="2"/>
  <c r="H69" i="2" s="1"/>
  <c r="G70" i="2"/>
  <c r="I67" i="2"/>
  <c r="I53" i="2" s="1"/>
  <c r="D67" i="2"/>
  <c r="K65" i="2"/>
  <c r="H65" i="2"/>
  <c r="G65" i="2"/>
  <c r="D64" i="2"/>
  <c r="K63" i="2"/>
  <c r="H63" i="2"/>
  <c r="G63" i="2"/>
  <c r="D61" i="2"/>
  <c r="J61" i="2" s="1"/>
  <c r="K59" i="2"/>
  <c r="H59" i="2"/>
  <c r="G59" i="2"/>
  <c r="D57" i="2"/>
  <c r="J57" i="2" s="1"/>
  <c r="K56" i="2"/>
  <c r="H56" i="2"/>
  <c r="G56" i="2"/>
  <c r="K52" i="2"/>
  <c r="H52" i="2"/>
  <c r="H51" i="2" s="1"/>
  <c r="G52" i="2"/>
  <c r="F52" i="2"/>
  <c r="F51" i="2" s="1"/>
  <c r="E52" i="2"/>
  <c r="E51" i="2" s="1"/>
  <c r="K49" i="2"/>
  <c r="H49" i="2"/>
  <c r="G49" i="2"/>
  <c r="G47" i="2" s="1"/>
  <c r="F49" i="2"/>
  <c r="E35" i="1" s="1"/>
  <c r="E49" i="2"/>
  <c r="D35" i="1" s="1"/>
  <c r="H29" i="2"/>
  <c r="G32" i="1" s="1"/>
  <c r="K44" i="2"/>
  <c r="H44" i="2"/>
  <c r="G44" i="2"/>
  <c r="F44" i="2"/>
  <c r="E44" i="2"/>
  <c r="H43" i="2"/>
  <c r="H42" i="2"/>
  <c r="G21" i="1" s="1"/>
  <c r="G42" i="2"/>
  <c r="E21" i="1"/>
  <c r="G18" i="2"/>
  <c r="F19" i="1" s="1"/>
  <c r="F18" i="2"/>
  <c r="E19" i="1" s="1"/>
  <c r="F16" i="2"/>
  <c r="E16" i="1" s="1"/>
  <c r="H36" i="2"/>
  <c r="G41" i="1" s="1"/>
  <c r="F36" i="2"/>
  <c r="J39" i="1"/>
  <c r="J26" i="1"/>
  <c r="L26" i="1" s="1"/>
  <c r="M37" i="7" l="1"/>
  <c r="I37" i="7"/>
  <c r="M42" i="7"/>
  <c r="K39" i="7"/>
  <c r="I39" i="7" s="1"/>
  <c r="I42" i="7"/>
  <c r="M73" i="7"/>
  <c r="I73" i="7"/>
  <c r="M78" i="7"/>
  <c r="I78" i="7"/>
  <c r="M85" i="7"/>
  <c r="K81" i="7"/>
  <c r="L81" i="7" s="1"/>
  <c r="M70" i="7"/>
  <c r="I70" i="7"/>
  <c r="M90" i="7"/>
  <c r="L90" i="7"/>
  <c r="I90" i="7"/>
  <c r="K19" i="6"/>
  <c r="M19" i="6" s="1"/>
  <c r="M88" i="6"/>
  <c r="I88" i="6"/>
  <c r="M83" i="6"/>
  <c r="I83" i="6"/>
  <c r="J11" i="5"/>
  <c r="J58" i="4"/>
  <c r="D19" i="4"/>
  <c r="M19" i="10"/>
  <c r="G12" i="10"/>
  <c r="G11" i="10" s="1"/>
  <c r="F12" i="10"/>
  <c r="E12" i="10"/>
  <c r="E11" i="10" s="1"/>
  <c r="M167" i="3"/>
  <c r="M59" i="4"/>
  <c r="M101" i="3"/>
  <c r="M139" i="3"/>
  <c r="M53" i="3"/>
  <c r="M65" i="3"/>
  <c r="M68" i="3"/>
  <c r="M134" i="3"/>
  <c r="M137" i="3"/>
  <c r="M149" i="3"/>
  <c r="M182" i="3"/>
  <c r="M50" i="3"/>
  <c r="M56" i="3"/>
  <c r="M58" i="3"/>
  <c r="M62" i="3"/>
  <c r="M70" i="3"/>
  <c r="M131" i="3"/>
  <c r="M143" i="3"/>
  <c r="M146" i="3"/>
  <c r="M151" i="3"/>
  <c r="M170" i="3"/>
  <c r="M173" i="3"/>
  <c r="M187" i="3"/>
  <c r="M194" i="3"/>
  <c r="M199" i="3"/>
  <c r="M82" i="3"/>
  <c r="M80" i="3"/>
  <c r="M77" i="3"/>
  <c r="M43" i="3"/>
  <c r="M31" i="3"/>
  <c r="J33" i="3"/>
  <c r="F431" i="2"/>
  <c r="E55" i="1" s="1"/>
  <c r="E53" i="1" s="1"/>
  <c r="M462" i="2"/>
  <c r="M344" i="2"/>
  <c r="D270" i="2"/>
  <c r="D269" i="2" s="1"/>
  <c r="D53" i="2"/>
  <c r="J53" i="2" s="1"/>
  <c r="D267" i="2"/>
  <c r="D265" i="2"/>
  <c r="M56" i="2"/>
  <c r="M59" i="2"/>
  <c r="M78" i="2"/>
  <c r="M81" i="2"/>
  <c r="M89" i="2"/>
  <c r="M93" i="2"/>
  <c r="M127" i="2"/>
  <c r="M135" i="2"/>
  <c r="M141" i="2"/>
  <c r="M149" i="2"/>
  <c r="M154" i="2"/>
  <c r="M160" i="2"/>
  <c r="D163" i="2"/>
  <c r="M167" i="2"/>
  <c r="M173" i="2"/>
  <c r="M175" i="2"/>
  <c r="M187" i="2"/>
  <c r="M197" i="2"/>
  <c r="M203" i="2"/>
  <c r="M205" i="2"/>
  <c r="M212" i="2"/>
  <c r="M215" i="2"/>
  <c r="M239" i="2"/>
  <c r="M241" i="2"/>
  <c r="M256" i="2"/>
  <c r="M258" i="2"/>
  <c r="M274" i="2"/>
  <c r="M276" i="2"/>
  <c r="M285" i="2"/>
  <c r="F40" i="1"/>
  <c r="M323" i="2"/>
  <c r="M349" i="2"/>
  <c r="D398" i="2"/>
  <c r="D382" i="2"/>
  <c r="M459" i="2"/>
  <c r="M491" i="2"/>
  <c r="M471" i="2"/>
  <c r="M483" i="2"/>
  <c r="M49" i="2"/>
  <c r="M63" i="2"/>
  <c r="M65" i="2"/>
  <c r="M95" i="2"/>
  <c r="M104" i="2"/>
  <c r="M111" i="2"/>
  <c r="M120" i="2"/>
  <c r="M124" i="2"/>
  <c r="M139" i="2"/>
  <c r="M146" i="2"/>
  <c r="M158" i="2"/>
  <c r="M170" i="2"/>
  <c r="M182" i="2"/>
  <c r="M185" i="2"/>
  <c r="M191" i="2"/>
  <c r="M194" i="2"/>
  <c r="M199" i="2"/>
  <c r="M220" i="2"/>
  <c r="M224" i="2"/>
  <c r="M226" i="2"/>
  <c r="M233" i="2"/>
  <c r="M236" i="2"/>
  <c r="M245" i="2"/>
  <c r="M247" i="2"/>
  <c r="M265" i="2"/>
  <c r="M283" i="2"/>
  <c r="M294" i="2"/>
  <c r="M318" i="2"/>
  <c r="M320" i="2"/>
  <c r="G40" i="1"/>
  <c r="H33" i="2"/>
  <c r="M337" i="2"/>
  <c r="J338" i="2"/>
  <c r="M346" i="2"/>
  <c r="M353" i="2"/>
  <c r="M445" i="2"/>
  <c r="M455" i="2"/>
  <c r="M463" i="2"/>
  <c r="M467" i="2"/>
  <c r="M487" i="2"/>
  <c r="M475" i="2"/>
  <c r="M479" i="2"/>
  <c r="M292" i="2"/>
  <c r="M179" i="2"/>
  <c r="M108" i="6"/>
  <c r="L54" i="1" s="1"/>
  <c r="J54" i="1"/>
  <c r="K54" i="1" s="1"/>
  <c r="I52" i="4"/>
  <c r="I382" i="2"/>
  <c r="I398" i="2"/>
  <c r="M395" i="2"/>
  <c r="K394" i="2"/>
  <c r="M377" i="2"/>
  <c r="K375" i="2"/>
  <c r="M375" i="2" s="1"/>
  <c r="M128" i="8"/>
  <c r="L128" i="8"/>
  <c r="M117" i="8"/>
  <c r="M109" i="8"/>
  <c r="L109" i="8"/>
  <c r="J53" i="9"/>
  <c r="E69" i="1"/>
  <c r="D79" i="1"/>
  <c r="F79" i="1"/>
  <c r="D69" i="1"/>
  <c r="F69" i="1"/>
  <c r="E79" i="1"/>
  <c r="L39" i="1"/>
  <c r="G37" i="1"/>
  <c r="M9" i="7"/>
  <c r="M384" i="2"/>
  <c r="K382" i="2"/>
  <c r="M382" i="2" s="1"/>
  <c r="J396" i="2"/>
  <c r="G207" i="2"/>
  <c r="M208" i="2"/>
  <c r="G287" i="2"/>
  <c r="M288" i="2"/>
  <c r="G296" i="2"/>
  <c r="M297" i="2"/>
  <c r="M372" i="2"/>
  <c r="M373" i="2"/>
  <c r="F30" i="1"/>
  <c r="M380" i="2"/>
  <c r="G162" i="2"/>
  <c r="M163" i="2"/>
  <c r="G278" i="2"/>
  <c r="M279" i="2"/>
  <c r="M374" i="2"/>
  <c r="M18" i="4"/>
  <c r="M10" i="5"/>
  <c r="M51" i="9"/>
  <c r="L53" i="9"/>
  <c r="M53" i="9"/>
  <c r="L54" i="9"/>
  <c r="M54" i="9"/>
  <c r="M58" i="9"/>
  <c r="M256" i="8"/>
  <c r="L256" i="8"/>
  <c r="M252" i="8"/>
  <c r="L252" i="8"/>
  <c r="M253" i="8"/>
  <c r="L253" i="8"/>
  <c r="J31" i="1"/>
  <c r="M44" i="8"/>
  <c r="M20" i="10"/>
  <c r="K11" i="10"/>
  <c r="M23" i="10"/>
  <c r="M24" i="10"/>
  <c r="M26" i="10"/>
  <c r="K28" i="10"/>
  <c r="M28" i="10" s="1"/>
  <c r="M29" i="10"/>
  <c r="J62" i="4"/>
  <c r="M29" i="4"/>
  <c r="M32" i="4"/>
  <c r="M35" i="4"/>
  <c r="M60" i="4"/>
  <c r="M24" i="4"/>
  <c r="M34" i="4"/>
  <c r="M52" i="4"/>
  <c r="J49" i="4"/>
  <c r="J480" i="2"/>
  <c r="J476" i="2"/>
  <c r="G322" i="2"/>
  <c r="G321" i="2" s="1"/>
  <c r="J82" i="2"/>
  <c r="J102" i="2"/>
  <c r="J137" i="2"/>
  <c r="J142" i="2"/>
  <c r="J30" i="10"/>
  <c r="L18" i="10"/>
  <c r="J16" i="10"/>
  <c r="J200" i="2"/>
  <c r="F29" i="2"/>
  <c r="E32" i="1" s="1"/>
  <c r="F47" i="2"/>
  <c r="J176" i="2"/>
  <c r="D173" i="2"/>
  <c r="G35" i="1"/>
  <c r="H47" i="2"/>
  <c r="J129" i="2"/>
  <c r="J87" i="2"/>
  <c r="J67" i="2"/>
  <c r="M34" i="3"/>
  <c r="E78" i="1"/>
  <c r="J52" i="3"/>
  <c r="J54" i="3"/>
  <c r="F55" i="3"/>
  <c r="E178" i="3"/>
  <c r="J234" i="2"/>
  <c r="J237" i="2"/>
  <c r="E434" i="2"/>
  <c r="D58" i="1" s="1"/>
  <c r="G53" i="1"/>
  <c r="L52" i="2"/>
  <c r="J361" i="2"/>
  <c r="J227" i="2"/>
  <c r="F35" i="1"/>
  <c r="L49" i="2"/>
  <c r="H20" i="2"/>
  <c r="M44" i="2"/>
  <c r="M52" i="2"/>
  <c r="L261" i="2"/>
  <c r="F33" i="2"/>
  <c r="E41" i="1"/>
  <c r="G20" i="2"/>
  <c r="F21" i="1"/>
  <c r="J71" i="2"/>
  <c r="J80" i="2"/>
  <c r="J97" i="2"/>
  <c r="J105" i="2"/>
  <c r="J113" i="2"/>
  <c r="J121" i="2"/>
  <c r="J140" i="2"/>
  <c r="J164" i="2"/>
  <c r="J188" i="2"/>
  <c r="J193" i="2"/>
  <c r="J198" i="2"/>
  <c r="J219" i="2"/>
  <c r="L229" i="2"/>
  <c r="F11" i="10"/>
  <c r="K278" i="2"/>
  <c r="L387" i="2"/>
  <c r="J400" i="2"/>
  <c r="K490" i="2"/>
  <c r="M490" i="2" s="1"/>
  <c r="J484" i="2"/>
  <c r="J31" i="3"/>
  <c r="J57" i="3"/>
  <c r="L161" i="3"/>
  <c r="M161" i="3"/>
  <c r="L163" i="3"/>
  <c r="L179" i="3"/>
  <c r="M179" i="3"/>
  <c r="G78" i="1"/>
  <c r="I115" i="6"/>
  <c r="M115" i="6"/>
  <c r="M122" i="6"/>
  <c r="I122" i="6"/>
  <c r="I127" i="6"/>
  <c r="M100" i="6"/>
  <c r="D23" i="10"/>
  <c r="H23" i="10"/>
  <c r="M36" i="6"/>
  <c r="I36" i="6"/>
  <c r="M52" i="6"/>
  <c r="I52" i="6"/>
  <c r="J52" i="6" s="1"/>
  <c r="J13" i="5"/>
  <c r="I63" i="6"/>
  <c r="M63" i="6"/>
  <c r="L267" i="2"/>
  <c r="D282" i="2"/>
  <c r="K287" i="2"/>
  <c r="K317" i="2"/>
  <c r="M317" i="2" s="1"/>
  <c r="K28" i="2"/>
  <c r="M28" i="2" s="1"/>
  <c r="K454" i="2"/>
  <c r="K474" i="2"/>
  <c r="M474" i="2" s="1"/>
  <c r="L155" i="3"/>
  <c r="L158" i="3"/>
  <c r="L80" i="3"/>
  <c r="L82" i="3"/>
  <c r="L137" i="3"/>
  <c r="G178" i="3"/>
  <c r="L185" i="3"/>
  <c r="M185" i="3"/>
  <c r="L187" i="3"/>
  <c r="L191" i="3"/>
  <c r="M191" i="3"/>
  <c r="J195" i="3"/>
  <c r="L197" i="3"/>
  <c r="M197" i="3"/>
  <c r="L199" i="3"/>
  <c r="F78" i="1"/>
  <c r="F51" i="4"/>
  <c r="K118" i="6"/>
  <c r="I119" i="6"/>
  <c r="M119" i="6"/>
  <c r="M123" i="6"/>
  <c r="I123" i="6"/>
  <c r="I131" i="6"/>
  <c r="M131" i="6"/>
  <c r="L58" i="1"/>
  <c r="L11" i="10"/>
  <c r="L12" i="10"/>
  <c r="L16" i="10"/>
  <c r="J18" i="10"/>
  <c r="L19" i="10"/>
  <c r="L20" i="10"/>
  <c r="L21" i="10"/>
  <c r="J25" i="10"/>
  <c r="J27" i="10"/>
  <c r="I41" i="6"/>
  <c r="M41" i="6"/>
  <c r="I58" i="6"/>
  <c r="J58" i="6" s="1"/>
  <c r="M58" i="6"/>
  <c r="M76" i="6"/>
  <c r="I76" i="6"/>
  <c r="M47" i="6"/>
  <c r="I47" i="6"/>
  <c r="H23" i="1"/>
  <c r="O19" i="8"/>
  <c r="O71" i="8"/>
  <c r="O102" i="8"/>
  <c r="O105" i="8"/>
  <c r="J140" i="8"/>
  <c r="O140" i="8"/>
  <c r="O224" i="8"/>
  <c r="O126" i="8"/>
  <c r="O128" i="8"/>
  <c r="J240" i="8"/>
  <c r="O240" i="8"/>
  <c r="K61" i="1"/>
  <c r="O146" i="8"/>
  <c r="K151" i="8"/>
  <c r="M151" i="8" s="1"/>
  <c r="I152" i="8"/>
  <c r="O152" i="8" s="1"/>
  <c r="O154" i="8"/>
  <c r="M72" i="6"/>
  <c r="I72" i="6"/>
  <c r="M79" i="6"/>
  <c r="I79" i="6"/>
  <c r="M33" i="6"/>
  <c r="I33" i="6"/>
  <c r="M31" i="6"/>
  <c r="I31" i="6"/>
  <c r="I110" i="6"/>
  <c r="I108" i="6"/>
  <c r="H54" i="1" s="1"/>
  <c r="L28" i="10"/>
  <c r="I29" i="10"/>
  <c r="L29" i="10"/>
  <c r="L26" i="10"/>
  <c r="L23" i="10"/>
  <c r="L24" i="10"/>
  <c r="L151" i="3"/>
  <c r="L139" i="3"/>
  <c r="L146" i="3"/>
  <c r="L143" i="3"/>
  <c r="L134" i="3"/>
  <c r="L131" i="3"/>
  <c r="K64" i="9"/>
  <c r="L56" i="3"/>
  <c r="L58" i="3"/>
  <c r="J59" i="3"/>
  <c r="O227" i="8"/>
  <c r="O115" i="8"/>
  <c r="O27" i="8"/>
  <c r="O123" i="8"/>
  <c r="O22" i="8"/>
  <c r="O112" i="8"/>
  <c r="O17" i="8"/>
  <c r="O110" i="8"/>
  <c r="M95" i="6"/>
  <c r="M97" i="6"/>
  <c r="M69" i="6"/>
  <c r="I69" i="6"/>
  <c r="M28" i="6"/>
  <c r="I28" i="6"/>
  <c r="M26" i="6"/>
  <c r="I26" i="6"/>
  <c r="L194" i="3"/>
  <c r="L182" i="3"/>
  <c r="D199" i="3"/>
  <c r="D196" i="3" s="1"/>
  <c r="J200" i="3"/>
  <c r="D187" i="3"/>
  <c r="D184" i="3" s="1"/>
  <c r="J188" i="3"/>
  <c r="D182" i="3"/>
  <c r="J183" i="3"/>
  <c r="L175" i="3"/>
  <c r="L173" i="3"/>
  <c r="L170" i="3"/>
  <c r="L167" i="3"/>
  <c r="J472" i="2"/>
  <c r="J268" i="2"/>
  <c r="L374" i="2"/>
  <c r="J446" i="2"/>
  <c r="J451" i="2"/>
  <c r="L10" i="5"/>
  <c r="K17" i="10"/>
  <c r="I26" i="10"/>
  <c r="J26" i="10" s="1"/>
  <c r="K15" i="10"/>
  <c r="I17" i="10"/>
  <c r="J17" i="10" s="1"/>
  <c r="L59" i="4"/>
  <c r="L60" i="4"/>
  <c r="J44" i="4"/>
  <c r="J33" i="4"/>
  <c r="I32" i="4"/>
  <c r="L52" i="4"/>
  <c r="J53" i="4"/>
  <c r="J54" i="4"/>
  <c r="J55" i="4"/>
  <c r="J56" i="4"/>
  <c r="L18" i="4"/>
  <c r="L24" i="4"/>
  <c r="K28" i="4"/>
  <c r="I48" i="4"/>
  <c r="I45" i="4" s="1"/>
  <c r="J63" i="1"/>
  <c r="J70" i="1"/>
  <c r="J71" i="1"/>
  <c r="L71" i="1" s="1"/>
  <c r="I35" i="4"/>
  <c r="H38" i="4"/>
  <c r="K51" i="4"/>
  <c r="D56" i="3"/>
  <c r="L16" i="9"/>
  <c r="L24" i="9"/>
  <c r="L26" i="9"/>
  <c r="L42" i="9"/>
  <c r="L44" i="9"/>
  <c r="L47" i="9"/>
  <c r="L51" i="9"/>
  <c r="L58" i="9"/>
  <c r="L61" i="9"/>
  <c r="K28" i="9"/>
  <c r="L29" i="9"/>
  <c r="K41" i="9"/>
  <c r="M41" i="9" s="1"/>
  <c r="K50" i="9"/>
  <c r="K57" i="9"/>
  <c r="K20" i="9"/>
  <c r="M20" i="9" s="1"/>
  <c r="L21" i="9"/>
  <c r="J27" i="9"/>
  <c r="I15" i="9"/>
  <c r="K213" i="8"/>
  <c r="M213" i="8" s="1"/>
  <c r="J152" i="8"/>
  <c r="L15" i="8"/>
  <c r="L20" i="8"/>
  <c r="L25" i="8"/>
  <c r="L30" i="8"/>
  <c r="K61" i="8"/>
  <c r="M61" i="8" s="1"/>
  <c r="L79" i="8"/>
  <c r="L110" i="8"/>
  <c r="L112" i="8"/>
  <c r="L152" i="8"/>
  <c r="L195" i="8"/>
  <c r="L199" i="8"/>
  <c r="L234" i="8"/>
  <c r="L14" i="8"/>
  <c r="L17" i="8"/>
  <c r="L21" i="8"/>
  <c r="L22" i="8"/>
  <c r="L26" i="8"/>
  <c r="L27" i="8"/>
  <c r="L31" i="8"/>
  <c r="L115" i="8"/>
  <c r="L123" i="8"/>
  <c r="L134" i="8"/>
  <c r="L138" i="8"/>
  <c r="L141" i="8"/>
  <c r="L202" i="8"/>
  <c r="K48" i="8"/>
  <c r="M48" i="8" s="1"/>
  <c r="K93" i="8"/>
  <c r="M93" i="8" s="1"/>
  <c r="I145" i="8"/>
  <c r="J145" i="8" s="1"/>
  <c r="K34" i="8"/>
  <c r="M34" i="8" s="1"/>
  <c r="I15" i="8"/>
  <c r="O15" i="8" s="1"/>
  <c r="J51" i="8"/>
  <c r="J69" i="8"/>
  <c r="J72" i="8"/>
  <c r="J89" i="8"/>
  <c r="J100" i="8"/>
  <c r="I125" i="8"/>
  <c r="J125" i="8" s="1"/>
  <c r="J126" i="8"/>
  <c r="J135" i="8"/>
  <c r="K145" i="8"/>
  <c r="M145" i="8" s="1"/>
  <c r="L146" i="8"/>
  <c r="K191" i="8"/>
  <c r="M191" i="8" s="1"/>
  <c r="L192" i="8"/>
  <c r="H65" i="1"/>
  <c r="I65" i="1" s="1"/>
  <c r="J236" i="8"/>
  <c r="J254" i="8"/>
  <c r="K54" i="8"/>
  <c r="M54" i="8" s="1"/>
  <c r="J81" i="8"/>
  <c r="K83" i="8"/>
  <c r="M83" i="8" s="1"/>
  <c r="J97" i="8"/>
  <c r="J104" i="8"/>
  <c r="J107" i="8"/>
  <c r="I109" i="8"/>
  <c r="J109" i="8" s="1"/>
  <c r="J110" i="8"/>
  <c r="K120" i="8"/>
  <c r="M120" i="8" s="1"/>
  <c r="L121" i="8"/>
  <c r="K125" i="8"/>
  <c r="M125" i="8" s="1"/>
  <c r="L126" i="8"/>
  <c r="K131" i="8"/>
  <c r="M131" i="8" s="1"/>
  <c r="L132" i="8"/>
  <c r="J142" i="8"/>
  <c r="J147" i="8"/>
  <c r="J154" i="8"/>
  <c r="E55" i="3"/>
  <c r="L74" i="3"/>
  <c r="J36" i="3"/>
  <c r="L77" i="3"/>
  <c r="L41" i="3"/>
  <c r="L43" i="3"/>
  <c r="I50" i="3"/>
  <c r="G55" i="3"/>
  <c r="H130" i="3"/>
  <c r="J168" i="3"/>
  <c r="I58" i="3"/>
  <c r="J58" i="3" s="1"/>
  <c r="I82" i="3"/>
  <c r="J186" i="3"/>
  <c r="J192" i="3"/>
  <c r="I194" i="3"/>
  <c r="J194" i="3" s="1"/>
  <c r="J198" i="3"/>
  <c r="E319" i="2"/>
  <c r="J271" i="2"/>
  <c r="J266" i="2"/>
  <c r="J262" i="2"/>
  <c r="J257" i="2"/>
  <c r="J248" i="2"/>
  <c r="J225" i="2"/>
  <c r="J204" i="2"/>
  <c r="J155" i="2"/>
  <c r="L149" i="2"/>
  <c r="J150" i="2"/>
  <c r="J148" i="2"/>
  <c r="J125" i="2"/>
  <c r="J75" i="2"/>
  <c r="L44" i="2"/>
  <c r="L56" i="2"/>
  <c r="D63" i="2"/>
  <c r="J64" i="2"/>
  <c r="L179" i="2"/>
  <c r="L191" i="2"/>
  <c r="L203" i="2"/>
  <c r="L208" i="2"/>
  <c r="L224" i="2"/>
  <c r="L226" i="2"/>
  <c r="L233" i="2"/>
  <c r="L247" i="2"/>
  <c r="L256" i="2"/>
  <c r="L265" i="2"/>
  <c r="L317" i="2"/>
  <c r="D346" i="2"/>
  <c r="J347" i="2"/>
  <c r="J359" i="2"/>
  <c r="J367" i="2"/>
  <c r="L377" i="2"/>
  <c r="L391" i="2"/>
  <c r="L395" i="2"/>
  <c r="D467" i="2"/>
  <c r="D466" i="2" s="1"/>
  <c r="L487" i="2"/>
  <c r="L40" i="2"/>
  <c r="J72" i="2"/>
  <c r="J83" i="2"/>
  <c r="J90" i="2"/>
  <c r="J94" i="2"/>
  <c r="J96" i="2"/>
  <c r="J110" i="2"/>
  <c r="J112" i="2"/>
  <c r="J117" i="2"/>
  <c r="J126" i="2"/>
  <c r="J128" i="2"/>
  <c r="J136" i="2"/>
  <c r="J143" i="2"/>
  <c r="L146" i="2"/>
  <c r="J147" i="2"/>
  <c r="J152" i="2"/>
  <c r="J153" i="2"/>
  <c r="J169" i="2"/>
  <c r="J174" i="2"/>
  <c r="L205" i="2"/>
  <c r="J206" i="2"/>
  <c r="D208" i="2"/>
  <c r="D207" i="2" s="1"/>
  <c r="J209" i="2"/>
  <c r="J214" i="2"/>
  <c r="J221" i="2"/>
  <c r="J235" i="2"/>
  <c r="D239" i="2"/>
  <c r="J240" i="2"/>
  <c r="J242" i="2"/>
  <c r="L245" i="2"/>
  <c r="J246" i="2"/>
  <c r="L258" i="2"/>
  <c r="J259" i="2"/>
  <c r="J275" i="2"/>
  <c r="J284" i="2"/>
  <c r="L292" i="2"/>
  <c r="G300" i="2"/>
  <c r="L301" i="2"/>
  <c r="L318" i="2"/>
  <c r="L323" i="2"/>
  <c r="D340" i="2"/>
  <c r="J340" i="2" s="1"/>
  <c r="J345" i="2"/>
  <c r="J350" i="2"/>
  <c r="J362" i="2"/>
  <c r="J364" i="2"/>
  <c r="I17" i="2"/>
  <c r="J374" i="2"/>
  <c r="L381" i="2"/>
  <c r="L384" i="2"/>
  <c r="J393" i="2"/>
  <c r="J397" i="2"/>
  <c r="J448" i="2"/>
  <c r="G449" i="2"/>
  <c r="M449" i="2" s="1"/>
  <c r="J452" i="2"/>
  <c r="L467" i="2"/>
  <c r="D486" i="2"/>
  <c r="J488" i="2"/>
  <c r="J477" i="2"/>
  <c r="J116" i="6"/>
  <c r="I25" i="7"/>
  <c r="J25" i="7" s="1"/>
  <c r="M76" i="7"/>
  <c r="I76" i="7"/>
  <c r="J76" i="7" s="1"/>
  <c r="I58" i="7"/>
  <c r="I81" i="7"/>
  <c r="I85" i="7"/>
  <c r="I52" i="7"/>
  <c r="I54" i="7"/>
  <c r="I49" i="7"/>
  <c r="I40" i="7"/>
  <c r="L9" i="7"/>
  <c r="J67" i="1"/>
  <c r="L17" i="7"/>
  <c r="H73" i="1"/>
  <c r="I73" i="1" s="1"/>
  <c r="J20" i="7"/>
  <c r="L22" i="7"/>
  <c r="L34" i="7"/>
  <c r="J50" i="7"/>
  <c r="L58" i="7"/>
  <c r="J72" i="7"/>
  <c r="J77" i="7"/>
  <c r="J86" i="7"/>
  <c r="I19" i="7"/>
  <c r="J19" i="7" s="1"/>
  <c r="J73" i="1"/>
  <c r="L73" i="1" s="1"/>
  <c r="L20" i="7"/>
  <c r="L37" i="7"/>
  <c r="L40" i="7"/>
  <c r="L42" i="7"/>
  <c r="L49" i="7"/>
  <c r="L52" i="7"/>
  <c r="L54" i="7"/>
  <c r="J59" i="7"/>
  <c r="J74" i="7"/>
  <c r="L76" i="7"/>
  <c r="K75" i="7"/>
  <c r="L85" i="7"/>
  <c r="J89" i="7"/>
  <c r="J91" i="7"/>
  <c r="K114" i="6"/>
  <c r="L127" i="6"/>
  <c r="L95" i="6"/>
  <c r="L97" i="6"/>
  <c r="L26" i="6"/>
  <c r="L28" i="6"/>
  <c r="L83" i="6"/>
  <c r="L19" i="6"/>
  <c r="L17" i="6"/>
  <c r="L20" i="6"/>
  <c r="L22" i="6"/>
  <c r="L79" i="6"/>
  <c r="L76" i="6"/>
  <c r="L31" i="6"/>
  <c r="L33" i="6"/>
  <c r="L110" i="6"/>
  <c r="L72" i="6"/>
  <c r="L69" i="6"/>
  <c r="J18" i="9"/>
  <c r="K17" i="9"/>
  <c r="M17" i="9" s="1"/>
  <c r="L18" i="9"/>
  <c r="J66" i="9"/>
  <c r="K39" i="1"/>
  <c r="K26" i="1"/>
  <c r="K221" i="8"/>
  <c r="M221" i="8" s="1"/>
  <c r="J223" i="8"/>
  <c r="I226" i="8"/>
  <c r="J226" i="8" s="1"/>
  <c r="J227" i="8"/>
  <c r="J228" i="8"/>
  <c r="J19" i="8"/>
  <c r="I210" i="8"/>
  <c r="J210" i="8" s="1"/>
  <c r="K226" i="8"/>
  <c r="M226" i="8" s="1"/>
  <c r="L227" i="8"/>
  <c r="K114" i="8"/>
  <c r="M114" i="8" s="1"/>
  <c r="J218" i="8"/>
  <c r="J215" i="8"/>
  <c r="J212" i="8"/>
  <c r="J18" i="1"/>
  <c r="L18" i="1" s="1"/>
  <c r="L16" i="8"/>
  <c r="K206" i="8"/>
  <c r="M206" i="8" s="1"/>
  <c r="J209" i="8"/>
  <c r="J106" i="8"/>
  <c r="I101" i="8"/>
  <c r="J101" i="8" s="1"/>
  <c r="J102" i="8"/>
  <c r="J103" i="8"/>
  <c r="J99" i="8"/>
  <c r="K74" i="8"/>
  <c r="M74" i="8" s="1"/>
  <c r="L75" i="8"/>
  <c r="K233" i="8"/>
  <c r="M233" i="8" s="1"/>
  <c r="J115" i="6"/>
  <c r="J42" i="6"/>
  <c r="J50" i="6"/>
  <c r="J74" i="6"/>
  <c r="J59" i="6"/>
  <c r="J55" i="6"/>
  <c r="J51" i="6"/>
  <c r="J63" i="6"/>
  <c r="J64" i="6"/>
  <c r="J120" i="6"/>
  <c r="J96" i="6"/>
  <c r="K99" i="6"/>
  <c r="L100" i="6"/>
  <c r="J101" i="6"/>
  <c r="J44" i="6"/>
  <c r="J48" i="6"/>
  <c r="J81" i="6"/>
  <c r="J78" i="6"/>
  <c r="J61" i="6"/>
  <c r="J54" i="6"/>
  <c r="J49" i="6"/>
  <c r="J108" i="6"/>
  <c r="L88" i="6"/>
  <c r="J32" i="6"/>
  <c r="L39" i="3"/>
  <c r="H273" i="2"/>
  <c r="G145" i="2"/>
  <c r="E151" i="2"/>
  <c r="F273" i="2"/>
  <c r="D273" i="2"/>
  <c r="H291" i="2"/>
  <c r="I93" i="2"/>
  <c r="J93" i="2" s="1"/>
  <c r="E145" i="2"/>
  <c r="F166" i="2"/>
  <c r="H166" i="2"/>
  <c r="K207" i="2"/>
  <c r="I226" i="2"/>
  <c r="J226" i="2" s="1"/>
  <c r="E273" i="2"/>
  <c r="G291" i="2"/>
  <c r="G352" i="2"/>
  <c r="K25" i="2"/>
  <c r="K466" i="2"/>
  <c r="M466" i="2" s="1"/>
  <c r="I466" i="2"/>
  <c r="K151" i="2"/>
  <c r="K162" i="2"/>
  <c r="I187" i="2"/>
  <c r="J187" i="2" s="1"/>
  <c r="I205" i="2"/>
  <c r="J205" i="2" s="1"/>
  <c r="K232" i="2"/>
  <c r="M232" i="2" s="1"/>
  <c r="K264" i="2"/>
  <c r="I292" i="2"/>
  <c r="I366" i="2"/>
  <c r="J366" i="2" s="1"/>
  <c r="K486" i="2"/>
  <c r="M486" i="2" s="1"/>
  <c r="K470" i="2"/>
  <c r="M470" i="2" s="1"/>
  <c r="I471" i="2"/>
  <c r="J471" i="2" s="1"/>
  <c r="K482" i="2"/>
  <c r="M482" i="2" s="1"/>
  <c r="I483" i="2"/>
  <c r="J483" i="2" s="1"/>
  <c r="K35" i="2"/>
  <c r="M35" i="2" s="1"/>
  <c r="I339" i="2"/>
  <c r="K24" i="2"/>
  <c r="M24" i="2" s="1"/>
  <c r="I337" i="2"/>
  <c r="J337" i="2" s="1"/>
  <c r="I491" i="2"/>
  <c r="J491" i="2" s="1"/>
  <c r="K45" i="7"/>
  <c r="I45" i="7" s="1"/>
  <c r="I21" i="6"/>
  <c r="K18" i="8"/>
  <c r="M18" i="8" s="1"/>
  <c r="H157" i="2"/>
  <c r="K190" i="2"/>
  <c r="D32" i="4"/>
  <c r="D26" i="4"/>
  <c r="C76" i="1" s="1"/>
  <c r="K19" i="7"/>
  <c r="M19" i="7" s="1"/>
  <c r="I98" i="8"/>
  <c r="J98" i="8" s="1"/>
  <c r="I222" i="8"/>
  <c r="J222" i="8" s="1"/>
  <c r="G14" i="10"/>
  <c r="H29" i="10"/>
  <c r="H28" i="10" s="1"/>
  <c r="K137" i="8"/>
  <c r="M137" i="8" s="1"/>
  <c r="D20" i="10"/>
  <c r="D19" i="10" s="1"/>
  <c r="J19" i="10" s="1"/>
  <c r="D29" i="10"/>
  <c r="I68" i="8"/>
  <c r="J68" i="8" s="1"/>
  <c r="H63" i="1"/>
  <c r="I18" i="6"/>
  <c r="K21" i="7"/>
  <c r="M21" i="7" s="1"/>
  <c r="J76" i="1"/>
  <c r="J143" i="8"/>
  <c r="I207" i="8"/>
  <c r="O207" i="8" s="1"/>
  <c r="K60" i="9"/>
  <c r="M60" i="9" s="1"/>
  <c r="I61" i="9"/>
  <c r="J61" i="9" s="1"/>
  <c r="J65" i="9"/>
  <c r="F14" i="10"/>
  <c r="H14" i="10"/>
  <c r="I24" i="10"/>
  <c r="J24" i="10" s="1"/>
  <c r="H429" i="2"/>
  <c r="D435" i="2"/>
  <c r="I440" i="2"/>
  <c r="J440" i="2" s="1"/>
  <c r="I450" i="2"/>
  <c r="K13" i="7"/>
  <c r="M13" i="7" s="1"/>
  <c r="J60" i="1"/>
  <c r="L60" i="1" s="1"/>
  <c r="J59" i="8"/>
  <c r="K14" i="10"/>
  <c r="M14" i="10" s="1"/>
  <c r="E15" i="10"/>
  <c r="I15" i="10"/>
  <c r="J15" i="10" s="1"/>
  <c r="I16" i="6"/>
  <c r="I154" i="2"/>
  <c r="J154" i="2" s="1"/>
  <c r="I78" i="2"/>
  <c r="I149" i="2"/>
  <c r="J149" i="2" s="1"/>
  <c r="J27" i="1"/>
  <c r="K19" i="3"/>
  <c r="L19" i="3" s="1"/>
  <c r="J30" i="1"/>
  <c r="I101" i="3"/>
  <c r="J62" i="1"/>
  <c r="J78" i="1" s="1"/>
  <c r="M13" i="4"/>
  <c r="I9" i="4"/>
  <c r="I16" i="4"/>
  <c r="H61" i="1" s="1"/>
  <c r="I26" i="4"/>
  <c r="J26" i="4" s="1"/>
  <c r="J57" i="9"/>
  <c r="I42" i="9"/>
  <c r="I44" i="9"/>
  <c r="I47" i="9"/>
  <c r="K23" i="9"/>
  <c r="I29" i="9"/>
  <c r="J29" i="9" s="1"/>
  <c r="K24" i="8"/>
  <c r="M24" i="8" s="1"/>
  <c r="I141" i="8"/>
  <c r="J141" i="8" s="1"/>
  <c r="H74" i="1"/>
  <c r="I74" i="1" s="1"/>
  <c r="H19" i="3"/>
  <c r="K18" i="2"/>
  <c r="M18" i="2" s="1"/>
  <c r="K22" i="2"/>
  <c r="F24" i="2"/>
  <c r="E25" i="1" s="1"/>
  <c r="H24" i="2"/>
  <c r="G25" i="1" s="1"/>
  <c r="E322" i="2"/>
  <c r="E321" i="2" s="1"/>
  <c r="E35" i="2"/>
  <c r="D40" i="1" s="1"/>
  <c r="H16" i="2"/>
  <c r="G16" i="1" s="1"/>
  <c r="I442" i="2"/>
  <c r="J442" i="2" s="1"/>
  <c r="H18" i="2"/>
  <c r="G19" i="1" s="1"/>
  <c r="G29" i="2"/>
  <c r="F32" i="1" s="1"/>
  <c r="K31" i="2"/>
  <c r="E18" i="2"/>
  <c r="D19" i="1" s="1"/>
  <c r="K36" i="2"/>
  <c r="I435" i="2"/>
  <c r="J435" i="2" s="1"/>
  <c r="I437" i="2"/>
  <c r="J437" i="2" s="1"/>
  <c r="I441" i="2"/>
  <c r="G16" i="2"/>
  <c r="F16" i="1" s="1"/>
  <c r="F17" i="2"/>
  <c r="E17" i="1" s="1"/>
  <c r="H17" i="2"/>
  <c r="G17" i="1" s="1"/>
  <c r="K17" i="2"/>
  <c r="M17" i="2" s="1"/>
  <c r="D19" i="2"/>
  <c r="C20" i="1" s="1"/>
  <c r="H19" i="2"/>
  <c r="G20" i="1" s="1"/>
  <c r="K19" i="2"/>
  <c r="F30" i="2"/>
  <c r="H30" i="2"/>
  <c r="G33" i="1" s="1"/>
  <c r="E19" i="2"/>
  <c r="D20" i="1" s="1"/>
  <c r="G19" i="2"/>
  <c r="F20" i="1" s="1"/>
  <c r="I19" i="2"/>
  <c r="E30" i="2"/>
  <c r="D33" i="1" s="1"/>
  <c r="G30" i="2"/>
  <c r="F33" i="1" s="1"/>
  <c r="K30" i="2"/>
  <c r="D30" i="2"/>
  <c r="C33" i="1" s="1"/>
  <c r="I487" i="2"/>
  <c r="J487" i="2" s="1"/>
  <c r="D475" i="2"/>
  <c r="D474" i="2" s="1"/>
  <c r="E36" i="2"/>
  <c r="D41" i="1" s="1"/>
  <c r="G36" i="2"/>
  <c r="F41" i="1" s="1"/>
  <c r="F31" i="2"/>
  <c r="D343" i="2"/>
  <c r="E371" i="2"/>
  <c r="F20" i="2"/>
  <c r="H22" i="2"/>
  <c r="G51" i="2"/>
  <c r="G46" i="2" s="1"/>
  <c r="K433" i="2"/>
  <c r="F433" i="2"/>
  <c r="F432" i="2" s="1"/>
  <c r="D52" i="2"/>
  <c r="F22" i="2"/>
  <c r="H31" i="2"/>
  <c r="I44" i="2"/>
  <c r="H371" i="2"/>
  <c r="H370" i="2" s="1"/>
  <c r="J372" i="2"/>
  <c r="F371" i="2"/>
  <c r="E379" i="2"/>
  <c r="E378" i="2" s="1"/>
  <c r="K379" i="2"/>
  <c r="E31" i="2"/>
  <c r="G31" i="2"/>
  <c r="D373" i="2"/>
  <c r="J373" i="2" s="1"/>
  <c r="I358" i="2"/>
  <c r="J358" i="2" s="1"/>
  <c r="H386" i="2"/>
  <c r="D379" i="2"/>
  <c r="D49" i="2"/>
  <c r="H433" i="2"/>
  <c r="H432" i="2" s="1"/>
  <c r="I186" i="2"/>
  <c r="E47" i="2"/>
  <c r="J35" i="1"/>
  <c r="F322" i="2"/>
  <c r="F321" i="2" s="1"/>
  <c r="H322" i="2"/>
  <c r="H321" i="2" s="1"/>
  <c r="K322" i="2"/>
  <c r="M322" i="2" s="1"/>
  <c r="G25" i="2"/>
  <c r="F27" i="1" s="1"/>
  <c r="D44" i="2"/>
  <c r="F343" i="2"/>
  <c r="F379" i="2"/>
  <c r="H379" i="2"/>
  <c r="H378" i="2" s="1"/>
  <c r="J381" i="2"/>
  <c r="F386" i="2"/>
  <c r="G454" i="2"/>
  <c r="G379" i="2"/>
  <c r="F375" i="2"/>
  <c r="H99" i="2"/>
  <c r="H131" i="2"/>
  <c r="D395" i="2"/>
  <c r="H255" i="2"/>
  <c r="I265" i="2"/>
  <c r="J265" i="2" s="1"/>
  <c r="D264" i="2"/>
  <c r="H107" i="2"/>
  <c r="I111" i="2"/>
  <c r="H115" i="2"/>
  <c r="I127" i="2"/>
  <c r="D127" i="2"/>
  <c r="K196" i="2"/>
  <c r="I208" i="2"/>
  <c r="E282" i="2"/>
  <c r="G282" i="2"/>
  <c r="I283" i="2"/>
  <c r="J283" i="2" s="1"/>
  <c r="H316" i="2"/>
  <c r="D323" i="2"/>
  <c r="D35" i="2" s="1"/>
  <c r="E334" i="2"/>
  <c r="G343" i="2"/>
  <c r="I346" i="2"/>
  <c r="J346" i="2" s="1"/>
  <c r="I380" i="2"/>
  <c r="J380" i="2" s="1"/>
  <c r="G433" i="2"/>
  <c r="H217" i="2"/>
  <c r="G223" i="2"/>
  <c r="I258" i="2"/>
  <c r="J258" i="2" s="1"/>
  <c r="K260" i="2"/>
  <c r="M260" i="2" s="1"/>
  <c r="F282" i="2"/>
  <c r="F172" i="2"/>
  <c r="H282" i="2"/>
  <c r="H184" i="2"/>
  <c r="I197" i="2"/>
  <c r="J197" i="2" s="1"/>
  <c r="I199" i="2"/>
  <c r="J199" i="2" s="1"/>
  <c r="I81" i="2"/>
  <c r="I141" i="2"/>
  <c r="D141" i="2"/>
  <c r="D138" i="2" s="1"/>
  <c r="E172" i="2"/>
  <c r="G172" i="2"/>
  <c r="E185" i="2"/>
  <c r="I203" i="2"/>
  <c r="I241" i="2"/>
  <c r="J241" i="2" s="1"/>
  <c r="I285" i="2"/>
  <c r="I297" i="2"/>
  <c r="I296" i="2" s="1"/>
  <c r="K92" i="2"/>
  <c r="I218" i="2"/>
  <c r="J218" i="2" s="1"/>
  <c r="I270" i="2"/>
  <c r="I279" i="2"/>
  <c r="I278" i="2" s="1"/>
  <c r="D301" i="2"/>
  <c r="J301" i="2" s="1"/>
  <c r="E22" i="2"/>
  <c r="G22" i="2"/>
  <c r="G21" i="2" s="1"/>
  <c r="I173" i="2"/>
  <c r="J173" i="2" s="1"/>
  <c r="G190" i="2"/>
  <c r="I220" i="2"/>
  <c r="J220" i="2" s="1"/>
  <c r="I224" i="2"/>
  <c r="J224" i="2" s="1"/>
  <c r="E255" i="2"/>
  <c r="G255" i="2"/>
  <c r="I288" i="2"/>
  <c r="I287" i="2" s="1"/>
  <c r="I295" i="2"/>
  <c r="D304" i="2"/>
  <c r="J304" i="2" s="1"/>
  <c r="D339" i="2"/>
  <c r="G77" i="2"/>
  <c r="D95" i="2"/>
  <c r="E115" i="2"/>
  <c r="G115" i="2"/>
  <c r="D135" i="2"/>
  <c r="G151" i="2"/>
  <c r="D229" i="2"/>
  <c r="J229" i="2" s="1"/>
  <c r="G244" i="2"/>
  <c r="K244" i="2"/>
  <c r="D252" i="2"/>
  <c r="H264" i="2"/>
  <c r="D391" i="2"/>
  <c r="J391" i="2" s="1"/>
  <c r="E386" i="2"/>
  <c r="G386" i="2"/>
  <c r="D228" i="2"/>
  <c r="J228" i="2" s="1"/>
  <c r="E316" i="2"/>
  <c r="F352" i="2"/>
  <c r="G316" i="2"/>
  <c r="F316" i="2"/>
  <c r="K319" i="2"/>
  <c r="M319" i="2" s="1"/>
  <c r="D255" i="2"/>
  <c r="D244" i="2"/>
  <c r="H238" i="2"/>
  <c r="I233" i="2"/>
  <c r="D233" i="2"/>
  <c r="D232" i="2" s="1"/>
  <c r="K223" i="2"/>
  <c r="M223" i="2" s="1"/>
  <c r="H223" i="2"/>
  <c r="D223" i="2"/>
  <c r="D217" i="2"/>
  <c r="H202" i="2"/>
  <c r="K145" i="2"/>
  <c r="M145" i="2" s="1"/>
  <c r="D124" i="2"/>
  <c r="G99" i="2"/>
  <c r="F39" i="2"/>
  <c r="H27" i="2"/>
  <c r="G62" i="2"/>
  <c r="F46" i="2"/>
  <c r="D65" i="2"/>
  <c r="D59" i="2"/>
  <c r="H55" i="2"/>
  <c r="E56" i="2"/>
  <c r="E55" i="2" s="1"/>
  <c r="H39" i="2"/>
  <c r="H38" i="2" s="1"/>
  <c r="G43" i="2"/>
  <c r="H46" i="2"/>
  <c r="G69" i="2"/>
  <c r="I52" i="2"/>
  <c r="H62" i="2"/>
  <c r="H85" i="2"/>
  <c r="J103" i="2"/>
  <c r="K116" i="2"/>
  <c r="M116" i="2" s="1"/>
  <c r="H123" i="2"/>
  <c r="I124" i="2"/>
  <c r="H138" i="2"/>
  <c r="H178" i="2"/>
  <c r="G196" i="2"/>
  <c r="E232" i="2"/>
  <c r="H244" i="2"/>
  <c r="G273" i="2"/>
  <c r="I59" i="2"/>
  <c r="E455" i="2"/>
  <c r="E454" i="2" s="1"/>
  <c r="E431" i="2" s="1"/>
  <c r="K352" i="2"/>
  <c r="M352" i="2" s="1"/>
  <c r="H146" i="2"/>
  <c r="G264" i="2"/>
  <c r="I349" i="2"/>
  <c r="J349" i="2" s="1"/>
  <c r="K108" i="2"/>
  <c r="M108" i="2" s="1"/>
  <c r="D186" i="2"/>
  <c r="D185" i="2" s="1"/>
  <c r="D184" i="2" s="1"/>
  <c r="I245" i="2"/>
  <c r="F287" i="2"/>
  <c r="D292" i="2"/>
  <c r="F294" i="2"/>
  <c r="F291" i="2" s="1"/>
  <c r="G92" i="2"/>
  <c r="G107" i="2"/>
  <c r="D122" i="2"/>
  <c r="D120" i="2" s="1"/>
  <c r="E131" i="2"/>
  <c r="G131" i="2"/>
  <c r="G39" i="2"/>
  <c r="D88" i="2"/>
  <c r="K100" i="2"/>
  <c r="M100" i="2" s="1"/>
  <c r="I101" i="2"/>
  <c r="I109" i="2"/>
  <c r="J109" i="2" s="1"/>
  <c r="D116" i="2"/>
  <c r="G123" i="2"/>
  <c r="D133" i="2"/>
  <c r="D132" i="2" s="1"/>
  <c r="D131" i="2" s="1"/>
  <c r="I151" i="2"/>
  <c r="D172" i="2"/>
  <c r="I267" i="2"/>
  <c r="D394" i="2"/>
  <c r="D460" i="2"/>
  <c r="D441" i="2" s="1"/>
  <c r="C71" i="1" s="1"/>
  <c r="G334" i="2"/>
  <c r="K478" i="2"/>
  <c r="M478" i="2" s="1"/>
  <c r="D445" i="2"/>
  <c r="D66" i="1"/>
  <c r="K178" i="3"/>
  <c r="M178" i="3" s="1"/>
  <c r="H196" i="3"/>
  <c r="D75" i="1"/>
  <c r="I182" i="3"/>
  <c r="E13" i="3"/>
  <c r="E12" i="3" s="1"/>
  <c r="E19" i="3"/>
  <c r="H103" i="3"/>
  <c r="E149" i="3"/>
  <c r="G166" i="3"/>
  <c r="H190" i="3"/>
  <c r="G196" i="3"/>
  <c r="F166" i="3"/>
  <c r="F130" i="3"/>
  <c r="G97" i="3"/>
  <c r="F172" i="3"/>
  <c r="E184" i="3"/>
  <c r="G184" i="3"/>
  <c r="K184" i="3"/>
  <c r="G61" i="3"/>
  <c r="F136" i="3"/>
  <c r="K166" i="3"/>
  <c r="M166" i="3" s="1"/>
  <c r="K97" i="3"/>
  <c r="D133" i="3"/>
  <c r="D131" i="3" s="1"/>
  <c r="H172" i="3"/>
  <c r="K73" i="3"/>
  <c r="F79" i="3"/>
  <c r="D174" i="3"/>
  <c r="K61" i="3"/>
  <c r="H154" i="3"/>
  <c r="H11" i="3" s="1"/>
  <c r="G154" i="3"/>
  <c r="G160" i="3"/>
  <c r="M160" i="3" s="1"/>
  <c r="E173" i="3"/>
  <c r="D55" i="3"/>
  <c r="G73" i="3"/>
  <c r="F97" i="3"/>
  <c r="H97" i="3"/>
  <c r="E143" i="3"/>
  <c r="G142" i="3"/>
  <c r="H148" i="3"/>
  <c r="K13" i="3"/>
  <c r="F154" i="3"/>
  <c r="F11" i="3" s="1"/>
  <c r="G18" i="3"/>
  <c r="G13" i="3"/>
  <c r="D99" i="3"/>
  <c r="J99" i="3" s="1"/>
  <c r="D138" i="3"/>
  <c r="D137" i="3" s="1"/>
  <c r="K142" i="3"/>
  <c r="M142" i="3" s="1"/>
  <c r="G67" i="3"/>
  <c r="D150" i="3"/>
  <c r="D149" i="3" s="1"/>
  <c r="H166" i="3"/>
  <c r="E170" i="3"/>
  <c r="E146" i="3"/>
  <c r="D171" i="3"/>
  <c r="D170" i="3" s="1"/>
  <c r="H49" i="3"/>
  <c r="H56" i="3"/>
  <c r="H55" i="3" s="1"/>
  <c r="F73" i="3"/>
  <c r="H73" i="3"/>
  <c r="D147" i="3"/>
  <c r="D146" i="3" s="1"/>
  <c r="I187" i="3"/>
  <c r="H13" i="3"/>
  <c r="H12" i="3" s="1"/>
  <c r="M39" i="3"/>
  <c r="F13" i="3"/>
  <c r="F12" i="3" s="1"/>
  <c r="K16" i="3"/>
  <c r="M16" i="3" s="1"/>
  <c r="K21" i="3"/>
  <c r="M21" i="3" s="1"/>
  <c r="F18" i="3"/>
  <c r="H18" i="3"/>
  <c r="I35" i="3"/>
  <c r="J35" i="3" s="1"/>
  <c r="F49" i="3"/>
  <c r="I53" i="3"/>
  <c r="J53" i="3" s="1"/>
  <c r="K55" i="3"/>
  <c r="E62" i="3"/>
  <c r="D64" i="3"/>
  <c r="I157" i="3"/>
  <c r="D157" i="3"/>
  <c r="H79" i="3"/>
  <c r="E82" i="3"/>
  <c r="G79" i="3"/>
  <c r="D83" i="3"/>
  <c r="D82" i="3" s="1"/>
  <c r="E98" i="3"/>
  <c r="E101" i="3"/>
  <c r="D102" i="3"/>
  <c r="D101" i="3" s="1"/>
  <c r="M44" i="3"/>
  <c r="E131" i="3"/>
  <c r="E130" i="3" s="1"/>
  <c r="E137" i="3"/>
  <c r="E136" i="3" s="1"/>
  <c r="H136" i="3"/>
  <c r="F148" i="3"/>
  <c r="I173" i="3"/>
  <c r="D191" i="3"/>
  <c r="D190" i="3" s="1"/>
  <c r="F103" i="3"/>
  <c r="M35" i="3"/>
  <c r="K22" i="4"/>
  <c r="I24" i="4"/>
  <c r="J24" i="4" s="1"/>
  <c r="H60" i="4"/>
  <c r="H59" i="4" s="1"/>
  <c r="I18" i="4"/>
  <c r="G70" i="1"/>
  <c r="I60" i="4"/>
  <c r="J60" i="4" s="1"/>
  <c r="D25" i="4"/>
  <c r="F28" i="4"/>
  <c r="H28" i="4"/>
  <c r="D41" i="4"/>
  <c r="J41" i="4" s="1"/>
  <c r="K65" i="5"/>
  <c r="K50" i="5" s="1"/>
  <c r="M50" i="5" s="1"/>
  <c r="I23" i="6"/>
  <c r="J23" i="6" s="1"/>
  <c r="I15" i="6"/>
  <c r="E75" i="1"/>
  <c r="E68" i="1" s="1"/>
  <c r="K130" i="6"/>
  <c r="F57" i="1"/>
  <c r="E57" i="1"/>
  <c r="G57" i="1"/>
  <c r="E66" i="1"/>
  <c r="J41" i="6"/>
  <c r="K33" i="7"/>
  <c r="K51" i="7"/>
  <c r="M51" i="7" s="1"/>
  <c r="J73" i="7"/>
  <c r="J54" i="7"/>
  <c r="J58" i="7"/>
  <c r="I134" i="8"/>
  <c r="J134" i="8" s="1"/>
  <c r="I248" i="8"/>
  <c r="O248" i="8" s="1"/>
  <c r="I214" i="8"/>
  <c r="O214" i="8" s="1"/>
  <c r="I217" i="8"/>
  <c r="O217" i="8" s="1"/>
  <c r="K247" i="8"/>
  <c r="M247" i="8" s="1"/>
  <c r="G55" i="2"/>
  <c r="I76" i="2"/>
  <c r="D76" i="2"/>
  <c r="D74" i="2" s="1"/>
  <c r="E74" i="2"/>
  <c r="I191" i="2"/>
  <c r="F25" i="2"/>
  <c r="E27" i="1" s="1"/>
  <c r="H25" i="2"/>
  <c r="G27" i="1" s="1"/>
  <c r="E42" i="2"/>
  <c r="K42" i="2"/>
  <c r="M42" i="2" s="1"/>
  <c r="E46" i="2"/>
  <c r="I49" i="2"/>
  <c r="K62" i="2"/>
  <c r="M62" i="2" s="1"/>
  <c r="I63" i="2"/>
  <c r="J63" i="2" s="1"/>
  <c r="I65" i="2"/>
  <c r="J65" i="2" s="1"/>
  <c r="K70" i="2"/>
  <c r="M70" i="2" s="1"/>
  <c r="H77" i="2"/>
  <c r="I100" i="2"/>
  <c r="D115" i="2"/>
  <c r="I160" i="2"/>
  <c r="I294" i="2"/>
  <c r="K77" i="2"/>
  <c r="M77" i="2" s="1"/>
  <c r="D78" i="2"/>
  <c r="D81" i="2"/>
  <c r="G85" i="2"/>
  <c r="H92" i="2"/>
  <c r="D92" i="2"/>
  <c r="K99" i="2"/>
  <c r="M99" i="2" s="1"/>
  <c r="E100" i="2"/>
  <c r="D101" i="2"/>
  <c r="D100" i="2" s="1"/>
  <c r="D108" i="2"/>
  <c r="D111" i="2"/>
  <c r="K115" i="2"/>
  <c r="M115" i="2" s="1"/>
  <c r="I119" i="2"/>
  <c r="J119" i="2" s="1"/>
  <c r="K132" i="2"/>
  <c r="M132" i="2" s="1"/>
  <c r="I134" i="2"/>
  <c r="J134" i="2" s="1"/>
  <c r="I139" i="2"/>
  <c r="J139" i="2" s="1"/>
  <c r="G138" i="2"/>
  <c r="D151" i="2"/>
  <c r="H151" i="2"/>
  <c r="G178" i="2"/>
  <c r="G184" i="2"/>
  <c r="G202" i="2"/>
  <c r="K238" i="2"/>
  <c r="I239" i="2"/>
  <c r="G238" i="2"/>
  <c r="E244" i="2"/>
  <c r="I247" i="2"/>
  <c r="J247" i="2" s="1"/>
  <c r="K255" i="2"/>
  <c r="M255" i="2" s="1"/>
  <c r="E264" i="2"/>
  <c r="I264" i="2"/>
  <c r="J264" i="2" s="1"/>
  <c r="F269" i="2"/>
  <c r="K269" i="2"/>
  <c r="M269" i="2" s="1"/>
  <c r="D295" i="2"/>
  <c r="D294" i="2" s="1"/>
  <c r="F296" i="2"/>
  <c r="K296" i="2"/>
  <c r="F334" i="2"/>
  <c r="F378" i="2"/>
  <c r="I106" i="3"/>
  <c r="H149" i="2"/>
  <c r="H145" i="2" s="1"/>
  <c r="E160" i="2"/>
  <c r="G157" i="2"/>
  <c r="D161" i="2"/>
  <c r="I163" i="2"/>
  <c r="J163" i="2" s="1"/>
  <c r="G166" i="2"/>
  <c r="D181" i="2"/>
  <c r="I181" i="2"/>
  <c r="I41" i="2" s="1"/>
  <c r="D192" i="2"/>
  <c r="D191" i="2" s="1"/>
  <c r="H190" i="2"/>
  <c r="H196" i="2"/>
  <c r="D203" i="2"/>
  <c r="D216" i="2"/>
  <c r="D215" i="2" s="1"/>
  <c r="I216" i="2"/>
  <c r="D387" i="2"/>
  <c r="J387" i="2" s="1"/>
  <c r="I68" i="3"/>
  <c r="I77" i="3"/>
  <c r="E49" i="3"/>
  <c r="G49" i="3"/>
  <c r="F67" i="3"/>
  <c r="H67" i="3"/>
  <c r="G130" i="3"/>
  <c r="G136" i="3"/>
  <c r="G172" i="3"/>
  <c r="D176" i="3"/>
  <c r="G190" i="3"/>
  <c r="K444" i="2"/>
  <c r="D456" i="2"/>
  <c r="D434" i="2" s="1"/>
  <c r="C58" i="1" s="1"/>
  <c r="I456" i="2"/>
  <c r="I434" i="2" s="1"/>
  <c r="H58" i="1" s="1"/>
  <c r="D457" i="2"/>
  <c r="D436" i="2" s="1"/>
  <c r="C62" i="1" s="1"/>
  <c r="I457" i="2"/>
  <c r="I436" i="2" s="1"/>
  <c r="K458" i="2"/>
  <c r="M458" i="2" s="1"/>
  <c r="I479" i="2"/>
  <c r="J479" i="2" s="1"/>
  <c r="F61" i="3"/>
  <c r="K67" i="3"/>
  <c r="E68" i="3"/>
  <c r="D69" i="3"/>
  <c r="E158" i="3"/>
  <c r="D159" i="3"/>
  <c r="D158" i="3" s="1"/>
  <c r="F160" i="3"/>
  <c r="H160" i="3"/>
  <c r="D75" i="3"/>
  <c r="E77" i="3"/>
  <c r="D78" i="3"/>
  <c r="D77" i="3" s="1"/>
  <c r="E106" i="3"/>
  <c r="G103" i="3"/>
  <c r="D107" i="3"/>
  <c r="D106" i="3" s="1"/>
  <c r="G38" i="3"/>
  <c r="M38" i="3" s="1"/>
  <c r="F41" i="3"/>
  <c r="F38" i="3" s="1"/>
  <c r="F44" i="3"/>
  <c r="F43" i="3" s="1"/>
  <c r="I45" i="3"/>
  <c r="D47" i="3"/>
  <c r="D46" i="3" s="1"/>
  <c r="D43" i="3" s="1"/>
  <c r="I47" i="3"/>
  <c r="I22" i="3" s="1"/>
  <c r="D135" i="3"/>
  <c r="D140" i="3"/>
  <c r="D144" i="3"/>
  <c r="F142" i="3"/>
  <c r="H142" i="3"/>
  <c r="G148" i="3"/>
  <c r="D169" i="3"/>
  <c r="J169" i="3" s="1"/>
  <c r="D179" i="3"/>
  <c r="H178" i="3"/>
  <c r="H184" i="3"/>
  <c r="D52" i="4"/>
  <c r="J14" i="7"/>
  <c r="I25" i="8"/>
  <c r="O25" i="8" s="1"/>
  <c r="I199" i="3"/>
  <c r="K25" i="4"/>
  <c r="M25" i="4" s="1"/>
  <c r="D31" i="4"/>
  <c r="J31" i="4" s="1"/>
  <c r="D35" i="4"/>
  <c r="K38" i="4"/>
  <c r="M38" i="4" s="1"/>
  <c r="I43" i="4"/>
  <c r="J43" i="4" s="1"/>
  <c r="H51" i="4"/>
  <c r="K14" i="6"/>
  <c r="M14" i="6" s="1"/>
  <c r="K126" i="6"/>
  <c r="M126" i="6" s="1"/>
  <c r="J37" i="7"/>
  <c r="J40" i="7"/>
  <c r="J42" i="7"/>
  <c r="M57" i="7"/>
  <c r="K69" i="7"/>
  <c r="K29" i="8"/>
  <c r="M29" i="8" s="1"/>
  <c r="K40" i="8"/>
  <c r="M40" i="8" s="1"/>
  <c r="J45" i="8"/>
  <c r="J90" i="8"/>
  <c r="I94" i="8"/>
  <c r="O94" i="8" s="1"/>
  <c r="I121" i="8"/>
  <c r="J121" i="8" s="1"/>
  <c r="K15" i="9"/>
  <c r="M15" i="9" s="1"/>
  <c r="I46" i="9"/>
  <c r="J46" i="9" s="1"/>
  <c r="K198" i="8"/>
  <c r="M198" i="8" s="1"/>
  <c r="K239" i="8"/>
  <c r="M239" i="8" s="1"/>
  <c r="K255" i="8"/>
  <c r="K243" i="8"/>
  <c r="M243" i="8" s="1"/>
  <c r="D14" i="10"/>
  <c r="I17" i="9"/>
  <c r="K46" i="9"/>
  <c r="M46" i="9" s="1"/>
  <c r="J58" i="9"/>
  <c r="J64" i="9"/>
  <c r="M12" i="10"/>
  <c r="M11" i="10" s="1"/>
  <c r="D146" i="2"/>
  <c r="D145" i="2" s="1"/>
  <c r="D162" i="2"/>
  <c r="I170" i="2"/>
  <c r="I212" i="2"/>
  <c r="D62" i="2"/>
  <c r="I70" i="2"/>
  <c r="I42" i="2"/>
  <c r="D107" i="2"/>
  <c r="I182" i="2"/>
  <c r="D196" i="2"/>
  <c r="D238" i="2"/>
  <c r="I155" i="3"/>
  <c r="I163" i="3"/>
  <c r="K43" i="2"/>
  <c r="M43" i="2" s="1"/>
  <c r="K51" i="2"/>
  <c r="M51" i="2" s="1"/>
  <c r="K55" i="2"/>
  <c r="I56" i="2"/>
  <c r="E70" i="2"/>
  <c r="D73" i="2"/>
  <c r="I74" i="2"/>
  <c r="J74" i="2" s="1"/>
  <c r="K74" i="2"/>
  <c r="M74" i="2" s="1"/>
  <c r="E85" i="2"/>
  <c r="I86" i="2"/>
  <c r="K86" i="2"/>
  <c r="M86" i="2" s="1"/>
  <c r="D91" i="2"/>
  <c r="D89" i="2" s="1"/>
  <c r="I91" i="2"/>
  <c r="I95" i="2"/>
  <c r="J95" i="2" s="1"/>
  <c r="D106" i="2"/>
  <c r="D104" i="2" s="1"/>
  <c r="D99" i="2" s="1"/>
  <c r="I106" i="2"/>
  <c r="I116" i="2"/>
  <c r="J116" i="2" s="1"/>
  <c r="I120" i="2"/>
  <c r="J120" i="2" s="1"/>
  <c r="I123" i="2"/>
  <c r="K123" i="2"/>
  <c r="M123" i="2" s="1"/>
  <c r="I132" i="2"/>
  <c r="J132" i="2" s="1"/>
  <c r="I135" i="2"/>
  <c r="J135" i="2" s="1"/>
  <c r="I138" i="2"/>
  <c r="K138" i="2"/>
  <c r="M138" i="2" s="1"/>
  <c r="I146" i="2"/>
  <c r="K157" i="2"/>
  <c r="M157" i="2" s="1"/>
  <c r="E158" i="2"/>
  <c r="D159" i="2"/>
  <c r="I159" i="2"/>
  <c r="K166" i="2"/>
  <c r="M166" i="2" s="1"/>
  <c r="E167" i="2"/>
  <c r="D168" i="2"/>
  <c r="D167" i="2" s="1"/>
  <c r="I168" i="2"/>
  <c r="D171" i="2"/>
  <c r="J171" i="2" s="1"/>
  <c r="K172" i="2"/>
  <c r="M172" i="2" s="1"/>
  <c r="I175" i="2"/>
  <c r="J175" i="2" s="1"/>
  <c r="K178" i="2"/>
  <c r="M178" i="2" s="1"/>
  <c r="E179" i="2"/>
  <c r="D180" i="2"/>
  <c r="I180" i="2"/>
  <c r="D183" i="2"/>
  <c r="D182" i="2" s="1"/>
  <c r="E184" i="2"/>
  <c r="K184" i="2"/>
  <c r="M184" i="2" s="1"/>
  <c r="I185" i="2"/>
  <c r="J185" i="2" s="1"/>
  <c r="E194" i="2"/>
  <c r="D195" i="2"/>
  <c r="D194" i="2" s="1"/>
  <c r="D190" i="2" s="1"/>
  <c r="I195" i="2"/>
  <c r="E202" i="2"/>
  <c r="I202" i="2"/>
  <c r="K202" i="2"/>
  <c r="M202" i="2" s="1"/>
  <c r="K211" i="2"/>
  <c r="M211" i="2" s="1"/>
  <c r="D213" i="2"/>
  <c r="D212" i="2" s="1"/>
  <c r="I215" i="2"/>
  <c r="J215" i="2" s="1"/>
  <c r="I217" i="2"/>
  <c r="J217" i="2" s="1"/>
  <c r="K217" i="2"/>
  <c r="M217" i="2" s="1"/>
  <c r="K228" i="2"/>
  <c r="M228" i="2" s="1"/>
  <c r="I236" i="2"/>
  <c r="J236" i="2" s="1"/>
  <c r="I256" i="2"/>
  <c r="J256" i="2" s="1"/>
  <c r="I261" i="2"/>
  <c r="J261" i="2" s="1"/>
  <c r="K273" i="2"/>
  <c r="M273" i="2" s="1"/>
  <c r="I274" i="2"/>
  <c r="J274" i="2" s="1"/>
  <c r="I282" i="2"/>
  <c r="J282" i="2" s="1"/>
  <c r="K282" i="2"/>
  <c r="M282" i="2" s="1"/>
  <c r="I291" i="2"/>
  <c r="K291" i="2"/>
  <c r="M291" i="2" s="1"/>
  <c r="I355" i="2"/>
  <c r="I320" i="2"/>
  <c r="E370" i="2"/>
  <c r="D50" i="3"/>
  <c r="I161" i="3"/>
  <c r="I143" i="3"/>
  <c r="I40" i="3"/>
  <c r="J41" i="3"/>
  <c r="I175" i="3"/>
  <c r="I184" i="3"/>
  <c r="I185" i="3"/>
  <c r="K334" i="2"/>
  <c r="M334" i="2" s="1"/>
  <c r="D336" i="2"/>
  <c r="D335" i="2" s="1"/>
  <c r="D334" i="2" s="1"/>
  <c r="I336" i="2"/>
  <c r="K343" i="2"/>
  <c r="I344" i="2"/>
  <c r="J344" i="2" s="1"/>
  <c r="I348" i="2"/>
  <c r="J348" i="2" s="1"/>
  <c r="K348" i="2"/>
  <c r="M348" i="2" s="1"/>
  <c r="E353" i="2"/>
  <c r="D354" i="2"/>
  <c r="I354" i="2"/>
  <c r="E355" i="2"/>
  <c r="D356" i="2"/>
  <c r="J356" i="2" s="1"/>
  <c r="I357" i="2"/>
  <c r="J357" i="2" s="1"/>
  <c r="K357" i="2"/>
  <c r="M357" i="2" s="1"/>
  <c r="E361" i="2"/>
  <c r="G371" i="2"/>
  <c r="G370" i="2" s="1"/>
  <c r="I371" i="2"/>
  <c r="K371" i="2"/>
  <c r="M371" i="2" s="1"/>
  <c r="J375" i="2"/>
  <c r="J382" i="2"/>
  <c r="K386" i="2"/>
  <c r="M386" i="2" s="1"/>
  <c r="I395" i="2"/>
  <c r="I445" i="2"/>
  <c r="J445" i="2" s="1"/>
  <c r="D449" i="2"/>
  <c r="D450" i="2"/>
  <c r="I455" i="2"/>
  <c r="I459" i="2"/>
  <c r="I475" i="2"/>
  <c r="J475" i="2" s="1"/>
  <c r="E18" i="3"/>
  <c r="K49" i="3"/>
  <c r="M49" i="3" s="1"/>
  <c r="I56" i="3"/>
  <c r="E65" i="3"/>
  <c r="D66" i="3"/>
  <c r="E70" i="3"/>
  <c r="D71" i="3"/>
  <c r="E155" i="3"/>
  <c r="D156" i="3"/>
  <c r="J156" i="3" s="1"/>
  <c r="E161" i="3"/>
  <c r="D162" i="3"/>
  <c r="D161" i="3" s="1"/>
  <c r="E163" i="3"/>
  <c r="D163" i="3"/>
  <c r="D76" i="3"/>
  <c r="K79" i="3"/>
  <c r="E80" i="3"/>
  <c r="D81" i="3"/>
  <c r="D80" i="3" s="1"/>
  <c r="D100" i="3"/>
  <c r="K103" i="3"/>
  <c r="E104" i="3"/>
  <c r="D105" i="3"/>
  <c r="D104" i="3" s="1"/>
  <c r="D103" i="3" s="1"/>
  <c r="E38" i="3"/>
  <c r="I39" i="3"/>
  <c r="J39" i="3" s="1"/>
  <c r="D40" i="3"/>
  <c r="D39" i="3" s="1"/>
  <c r="D38" i="3" s="1"/>
  <c r="I46" i="3"/>
  <c r="K130" i="3"/>
  <c r="M130" i="3" s="1"/>
  <c r="K136" i="3"/>
  <c r="M136" i="3" s="1"/>
  <c r="D145" i="3"/>
  <c r="D143" i="3" s="1"/>
  <c r="I146" i="3"/>
  <c r="E148" i="3"/>
  <c r="K148" i="3"/>
  <c r="M148" i="3" s="1"/>
  <c r="I149" i="3"/>
  <c r="J149" i="3" s="1"/>
  <c r="D152" i="3"/>
  <c r="D151" i="3" s="1"/>
  <c r="E167" i="3"/>
  <c r="K172" i="3"/>
  <c r="I174" i="3"/>
  <c r="E190" i="3"/>
  <c r="I190" i="3"/>
  <c r="K190" i="3"/>
  <c r="K196" i="3"/>
  <c r="M196" i="3" s="1"/>
  <c r="I197" i="3"/>
  <c r="I19" i="4"/>
  <c r="J19" i="4" s="1"/>
  <c r="K19" i="4"/>
  <c r="M19" i="4" s="1"/>
  <c r="E29" i="4"/>
  <c r="D30" i="4"/>
  <c r="D40" i="4"/>
  <c r="D38" i="4" s="1"/>
  <c r="D57" i="4"/>
  <c r="E51" i="4"/>
  <c r="J36" i="7"/>
  <c r="J46" i="7"/>
  <c r="J49" i="7"/>
  <c r="J52" i="7"/>
  <c r="J85" i="7"/>
  <c r="J88" i="7"/>
  <c r="I253" i="8"/>
  <c r="O253" i="8" s="1"/>
  <c r="I237" i="8"/>
  <c r="K94" i="6"/>
  <c r="K25" i="6"/>
  <c r="K30" i="6"/>
  <c r="J16" i="7"/>
  <c r="K16" i="7"/>
  <c r="M16" i="7" s="1"/>
  <c r="K24" i="7"/>
  <c r="M24" i="7" s="1"/>
  <c r="J47" i="7"/>
  <c r="K63" i="7"/>
  <c r="L63" i="7" s="1"/>
  <c r="K87" i="7"/>
  <c r="I87" i="7" s="1"/>
  <c r="J90" i="7"/>
  <c r="I75" i="8"/>
  <c r="J75" i="8" s="1"/>
  <c r="J84" i="8"/>
  <c r="J133" i="8"/>
  <c r="J203" i="8"/>
  <c r="J13" i="9"/>
  <c r="K13" i="8"/>
  <c r="M13" i="8" s="1"/>
  <c r="I35" i="8"/>
  <c r="J35" i="8" s="1"/>
  <c r="I38" i="8"/>
  <c r="J38" i="8" s="1"/>
  <c r="I41" i="8"/>
  <c r="J41" i="8" s="1"/>
  <c r="I44" i="8"/>
  <c r="J44" i="8" s="1"/>
  <c r="I49" i="8"/>
  <c r="J49" i="8" s="1"/>
  <c r="I52" i="8"/>
  <c r="J52" i="8" s="1"/>
  <c r="I55" i="8"/>
  <c r="O55" i="8" s="1"/>
  <c r="I58" i="8"/>
  <c r="I62" i="8"/>
  <c r="O62" i="8" s="1"/>
  <c r="I65" i="8"/>
  <c r="J65" i="8" s="1"/>
  <c r="K67" i="8"/>
  <c r="M67" i="8" s="1"/>
  <c r="J79" i="8"/>
  <c r="J88" i="8"/>
  <c r="I117" i="8"/>
  <c r="O117" i="8" s="1"/>
  <c r="J139" i="8"/>
  <c r="J194" i="8"/>
  <c r="J197" i="8"/>
  <c r="I26" i="9"/>
  <c r="I244" i="8"/>
  <c r="O244" i="8" s="1"/>
  <c r="I67" i="9"/>
  <c r="J67" i="9" s="1"/>
  <c r="K67" i="9"/>
  <c r="M67" i="9" s="1"/>
  <c r="M33" i="7" l="1"/>
  <c r="I33" i="7"/>
  <c r="M69" i="7"/>
  <c r="I69" i="7"/>
  <c r="M75" i="7"/>
  <c r="I75" i="7"/>
  <c r="I20" i="3"/>
  <c r="H10" i="3"/>
  <c r="M190" i="3"/>
  <c r="M172" i="3"/>
  <c r="J146" i="3"/>
  <c r="J138" i="3"/>
  <c r="J133" i="3"/>
  <c r="J46" i="3"/>
  <c r="D79" i="3"/>
  <c r="J56" i="3"/>
  <c r="D178" i="3"/>
  <c r="M67" i="3"/>
  <c r="G10" i="3"/>
  <c r="F12" i="1" s="1"/>
  <c r="F88" i="1" s="1"/>
  <c r="I15" i="3"/>
  <c r="L70" i="1"/>
  <c r="J79" i="1"/>
  <c r="F29" i="1"/>
  <c r="J40" i="3"/>
  <c r="F10" i="3"/>
  <c r="K10" i="3"/>
  <c r="C67" i="1"/>
  <c r="H12" i="10"/>
  <c r="H11" i="10" s="1"/>
  <c r="D12" i="10"/>
  <c r="D11" i="10" s="1"/>
  <c r="M51" i="4"/>
  <c r="J144" i="3"/>
  <c r="D14" i="3"/>
  <c r="J14" i="3" s="1"/>
  <c r="J140" i="3"/>
  <c r="D139" i="3"/>
  <c r="D22" i="3"/>
  <c r="J135" i="3"/>
  <c r="D134" i="3"/>
  <c r="D17" i="3"/>
  <c r="G11" i="3"/>
  <c r="M154" i="3"/>
  <c r="M184" i="3"/>
  <c r="D15" i="3"/>
  <c r="D20" i="3"/>
  <c r="M73" i="3"/>
  <c r="G12" i="1"/>
  <c r="G88" i="1" s="1"/>
  <c r="J75" i="3"/>
  <c r="M55" i="2"/>
  <c r="D55" i="1"/>
  <c r="E429" i="2"/>
  <c r="E433" i="2"/>
  <c r="E432" i="2" s="1"/>
  <c r="J467" i="2"/>
  <c r="G378" i="2"/>
  <c r="D291" i="2"/>
  <c r="J291" i="2" s="1"/>
  <c r="M244" i="2"/>
  <c r="I196" i="2"/>
  <c r="I40" i="2"/>
  <c r="J146" i="2"/>
  <c r="J138" i="2"/>
  <c r="I48" i="2"/>
  <c r="D40" i="2"/>
  <c r="I45" i="2"/>
  <c r="D45" i="2"/>
  <c r="D42" i="2"/>
  <c r="D21" i="1"/>
  <c r="E39" i="2"/>
  <c r="J40" i="2"/>
  <c r="D160" i="2"/>
  <c r="M92" i="2"/>
  <c r="M31" i="2"/>
  <c r="M190" i="2"/>
  <c r="M264" i="2"/>
  <c r="M12" i="2"/>
  <c r="G33" i="2"/>
  <c r="M238" i="2"/>
  <c r="C40" i="1"/>
  <c r="M196" i="2"/>
  <c r="M433" i="2"/>
  <c r="H21" i="2"/>
  <c r="M151" i="2"/>
  <c r="M454" i="2"/>
  <c r="M278" i="2"/>
  <c r="M162" i="2"/>
  <c r="M296" i="2"/>
  <c r="M287" i="2"/>
  <c r="D48" i="2"/>
  <c r="D41" i="2"/>
  <c r="D18" i="2" s="1"/>
  <c r="C19" i="1" s="1"/>
  <c r="J208" i="2"/>
  <c r="D179" i="2"/>
  <c r="M87" i="7"/>
  <c r="I63" i="7"/>
  <c r="M63" i="7"/>
  <c r="L45" i="7"/>
  <c r="M45" i="7"/>
  <c r="M39" i="7"/>
  <c r="H17" i="1"/>
  <c r="M97" i="3"/>
  <c r="M55" i="3"/>
  <c r="K431" i="2"/>
  <c r="M444" i="2"/>
  <c r="J395" i="2"/>
  <c r="I394" i="2"/>
  <c r="M394" i="2"/>
  <c r="L394" i="2"/>
  <c r="M343" i="2"/>
  <c r="M207" i="2"/>
  <c r="M25" i="2"/>
  <c r="K21" i="2"/>
  <c r="M36" i="2"/>
  <c r="K33" i="2"/>
  <c r="L79" i="1"/>
  <c r="M28" i="9"/>
  <c r="L35" i="1"/>
  <c r="L62" i="1"/>
  <c r="L30" i="1"/>
  <c r="L31" i="1"/>
  <c r="L63" i="1"/>
  <c r="D68" i="1"/>
  <c r="K31" i="1"/>
  <c r="D37" i="1"/>
  <c r="I23" i="1"/>
  <c r="F37" i="1"/>
  <c r="E37" i="1"/>
  <c r="M81" i="7"/>
  <c r="J398" i="2"/>
  <c r="M379" i="2"/>
  <c r="M300" i="2"/>
  <c r="M30" i="2"/>
  <c r="M19" i="2"/>
  <c r="M16" i="2"/>
  <c r="G27" i="2"/>
  <c r="G26" i="2" s="1"/>
  <c r="I25" i="4"/>
  <c r="G29" i="1"/>
  <c r="J48" i="4"/>
  <c r="M23" i="9"/>
  <c r="K12" i="9"/>
  <c r="M12" i="9" s="1"/>
  <c r="L27" i="1"/>
  <c r="M64" i="9"/>
  <c r="K13" i="9"/>
  <c r="M13" i="9" s="1"/>
  <c r="J30" i="4"/>
  <c r="D15" i="4"/>
  <c r="M22" i="4"/>
  <c r="L76" i="1"/>
  <c r="L75" i="1" s="1"/>
  <c r="L67" i="1"/>
  <c r="L66" i="1" s="1"/>
  <c r="M61" i="3"/>
  <c r="K12" i="7"/>
  <c r="M12" i="7" s="1"/>
  <c r="M103" i="3"/>
  <c r="L79" i="3"/>
  <c r="M79" i="3"/>
  <c r="J190" i="3"/>
  <c r="M50" i="9"/>
  <c r="M57" i="9"/>
  <c r="M255" i="8"/>
  <c r="L255" i="8"/>
  <c r="J15" i="8"/>
  <c r="L151" i="8"/>
  <c r="K11" i="8"/>
  <c r="M11" i="8" s="1"/>
  <c r="I151" i="8"/>
  <c r="J151" i="8" s="1"/>
  <c r="L17" i="10"/>
  <c r="M17" i="10"/>
  <c r="L15" i="10"/>
  <c r="M15" i="10"/>
  <c r="M28" i="4"/>
  <c r="K47" i="2"/>
  <c r="M47" i="2" s="1"/>
  <c r="D78" i="1"/>
  <c r="D47" i="2"/>
  <c r="D123" i="2"/>
  <c r="J123" i="2" s="1"/>
  <c r="M19" i="3"/>
  <c r="J45" i="3"/>
  <c r="M13" i="3"/>
  <c r="J42" i="3"/>
  <c r="F22" i="1"/>
  <c r="K58" i="1"/>
  <c r="D65" i="3"/>
  <c r="J64" i="3"/>
  <c r="D70" i="3"/>
  <c r="D68" i="3"/>
  <c r="J68" i="3" s="1"/>
  <c r="J71" i="3"/>
  <c r="J59" i="2"/>
  <c r="J124" i="2"/>
  <c r="J33" i="1"/>
  <c r="L33" i="1" s="1"/>
  <c r="J19" i="2"/>
  <c r="G431" i="2"/>
  <c r="J436" i="2"/>
  <c r="J216" i="2"/>
  <c r="J245" i="2"/>
  <c r="I244" i="2"/>
  <c r="J252" i="2"/>
  <c r="D249" i="2"/>
  <c r="L51" i="2"/>
  <c r="J159" i="3"/>
  <c r="M20" i="1"/>
  <c r="I67" i="8"/>
  <c r="O67" i="8" s="1"/>
  <c r="J152" i="3"/>
  <c r="J66" i="3"/>
  <c r="L386" i="2"/>
  <c r="J143" i="3"/>
  <c r="J195" i="2"/>
  <c r="L178" i="2"/>
  <c r="J168" i="2"/>
  <c r="J91" i="2"/>
  <c r="L55" i="2"/>
  <c r="J163" i="3"/>
  <c r="J184" i="3"/>
  <c r="L132" i="2"/>
  <c r="I130" i="6"/>
  <c r="J130" i="6" s="1"/>
  <c r="M130" i="6"/>
  <c r="J170" i="3"/>
  <c r="L154" i="3"/>
  <c r="L184" i="3"/>
  <c r="J141" i="2"/>
  <c r="L260" i="2"/>
  <c r="D31" i="2"/>
  <c r="C35" i="1"/>
  <c r="D378" i="2"/>
  <c r="F27" i="2"/>
  <c r="F26" i="2" s="1"/>
  <c r="E33" i="1"/>
  <c r="E29" i="1" s="1"/>
  <c r="E28" i="1" s="1"/>
  <c r="E12" i="1"/>
  <c r="E88" i="1" s="1"/>
  <c r="J19" i="1"/>
  <c r="L19" i="1" s="1"/>
  <c r="L486" i="2"/>
  <c r="L300" i="2"/>
  <c r="J50" i="3"/>
  <c r="J187" i="3"/>
  <c r="J199" i="3"/>
  <c r="J21" i="10"/>
  <c r="J145" i="3"/>
  <c r="J69" i="3"/>
  <c r="L196" i="3"/>
  <c r="L382" i="2"/>
  <c r="L375" i="2"/>
  <c r="L371" i="2"/>
  <c r="J161" i="3"/>
  <c r="L228" i="2"/>
  <c r="I126" i="6"/>
  <c r="I65" i="5"/>
  <c r="I50" i="5" s="1"/>
  <c r="G79" i="1"/>
  <c r="G69" i="1"/>
  <c r="J157" i="3"/>
  <c r="L160" i="3"/>
  <c r="C30" i="1"/>
  <c r="L322" i="2"/>
  <c r="J17" i="1"/>
  <c r="L17" i="1" s="1"/>
  <c r="J441" i="2"/>
  <c r="M22" i="2"/>
  <c r="L14" i="10"/>
  <c r="J17" i="7"/>
  <c r="L207" i="2"/>
  <c r="M99" i="6"/>
  <c r="I114" i="6"/>
  <c r="J114" i="6" s="1"/>
  <c r="M114" i="6"/>
  <c r="I118" i="6"/>
  <c r="J118" i="6" s="1"/>
  <c r="M118" i="6"/>
  <c r="J147" i="3"/>
  <c r="C70" i="1"/>
  <c r="J20" i="10"/>
  <c r="J150" i="3"/>
  <c r="J162" i="3"/>
  <c r="J76" i="2"/>
  <c r="O210" i="8"/>
  <c r="O121" i="8"/>
  <c r="O98" i="8"/>
  <c r="O38" i="8"/>
  <c r="O222" i="8"/>
  <c r="O101" i="8"/>
  <c r="O68" i="8"/>
  <c r="O65" i="8"/>
  <c r="O44" i="8"/>
  <c r="O41" i="8"/>
  <c r="O35" i="8"/>
  <c r="J67" i="8"/>
  <c r="J237" i="8"/>
  <c r="O237" i="8"/>
  <c r="O125" i="8"/>
  <c r="K62" i="1"/>
  <c r="K60" i="1"/>
  <c r="K71" i="1"/>
  <c r="K63" i="1"/>
  <c r="K70" i="1"/>
  <c r="O145" i="8"/>
  <c r="M30" i="6"/>
  <c r="I30" i="6"/>
  <c r="J466" i="2"/>
  <c r="L466" i="2"/>
  <c r="J52" i="4"/>
  <c r="C63" i="1"/>
  <c r="J29" i="10"/>
  <c r="I28" i="10"/>
  <c r="L148" i="3"/>
  <c r="L136" i="3"/>
  <c r="L142" i="3"/>
  <c r="L130" i="3"/>
  <c r="L51" i="4"/>
  <c r="L13" i="4"/>
  <c r="L19" i="4"/>
  <c r="L25" i="4"/>
  <c r="I21" i="3"/>
  <c r="L49" i="3"/>
  <c r="L55" i="3"/>
  <c r="O83" i="8"/>
  <c r="O79" i="8"/>
  <c r="K10" i="8"/>
  <c r="M10" i="8" s="1"/>
  <c r="O75" i="8"/>
  <c r="O226" i="8"/>
  <c r="J58" i="8"/>
  <c r="O58" i="8"/>
  <c r="O141" i="8"/>
  <c r="O109" i="8"/>
  <c r="O49" i="8"/>
  <c r="O52" i="8"/>
  <c r="O134" i="8"/>
  <c r="L21" i="3"/>
  <c r="J94" i="6"/>
  <c r="M94" i="6"/>
  <c r="M25" i="6"/>
  <c r="I25" i="6"/>
  <c r="J25" i="6" s="1"/>
  <c r="L14" i="6"/>
  <c r="L190" i="3"/>
  <c r="L178" i="3"/>
  <c r="J182" i="3"/>
  <c r="L16" i="3"/>
  <c r="D175" i="3"/>
  <c r="J175" i="3" s="1"/>
  <c r="J176" i="3"/>
  <c r="L172" i="3"/>
  <c r="D173" i="3"/>
  <c r="J173" i="3" s="1"/>
  <c r="J174" i="3"/>
  <c r="J171" i="3"/>
  <c r="D167" i="3"/>
  <c r="L166" i="3"/>
  <c r="L291" i="2"/>
  <c r="J267" i="2"/>
  <c r="L255" i="2"/>
  <c r="L232" i="2"/>
  <c r="L223" i="2"/>
  <c r="L202" i="2"/>
  <c r="L42" i="2"/>
  <c r="L43" i="2"/>
  <c r="L145" i="2"/>
  <c r="L100" i="2"/>
  <c r="L99" i="2"/>
  <c r="L86" i="2"/>
  <c r="J57" i="1"/>
  <c r="K57" i="1" s="1"/>
  <c r="D300" i="2"/>
  <c r="L30" i="2"/>
  <c r="I23" i="10"/>
  <c r="I14" i="10"/>
  <c r="J32" i="4"/>
  <c r="J40" i="4"/>
  <c r="J25" i="4"/>
  <c r="L22" i="4"/>
  <c r="J35" i="4"/>
  <c r="I59" i="4"/>
  <c r="J59" i="4" s="1"/>
  <c r="I34" i="4"/>
  <c r="G12" i="3"/>
  <c r="L13" i="3"/>
  <c r="J51" i="9"/>
  <c r="L60" i="9"/>
  <c r="L17" i="9"/>
  <c r="L57" i="9"/>
  <c r="L41" i="9"/>
  <c r="L23" i="9"/>
  <c r="L50" i="9"/>
  <c r="L28" i="9"/>
  <c r="L46" i="9"/>
  <c r="K19" i="9"/>
  <c r="M19" i="9" s="1"/>
  <c r="L20" i="9"/>
  <c r="J47" i="9"/>
  <c r="J44" i="9"/>
  <c r="I41" i="9"/>
  <c r="J42" i="9"/>
  <c r="I20" i="9"/>
  <c r="J21" i="9"/>
  <c r="J26" i="9"/>
  <c r="K14" i="9"/>
  <c r="L14" i="9" s="1"/>
  <c r="L15" i="9"/>
  <c r="I14" i="9"/>
  <c r="J15" i="9"/>
  <c r="L29" i="8"/>
  <c r="L24" i="8"/>
  <c r="L137" i="8"/>
  <c r="L233" i="8"/>
  <c r="L74" i="8"/>
  <c r="L83" i="8"/>
  <c r="L13" i="8"/>
  <c r="L239" i="8"/>
  <c r="L10" i="8"/>
  <c r="L18" i="8"/>
  <c r="L114" i="8"/>
  <c r="L226" i="8"/>
  <c r="L131" i="8"/>
  <c r="L125" i="8"/>
  <c r="L120" i="8"/>
  <c r="L191" i="8"/>
  <c r="L145" i="8"/>
  <c r="J204" i="8"/>
  <c r="I32" i="8"/>
  <c r="O32" i="8" s="1"/>
  <c r="J201" i="8"/>
  <c r="I28" i="8"/>
  <c r="O28" i="8" s="1"/>
  <c r="J193" i="8"/>
  <c r="J253" i="8"/>
  <c r="I20" i="8"/>
  <c r="O20" i="8" s="1"/>
  <c r="J39" i="8"/>
  <c r="J244" i="8"/>
  <c r="J200" i="8"/>
  <c r="I114" i="8"/>
  <c r="J114" i="8" s="1"/>
  <c r="J117" i="8"/>
  <c r="I61" i="8"/>
  <c r="J62" i="8"/>
  <c r="J55" i="8"/>
  <c r="L198" i="8"/>
  <c r="I247" i="8"/>
  <c r="J247" i="8" s="1"/>
  <c r="J248" i="8"/>
  <c r="J257" i="8"/>
  <c r="J105" i="3"/>
  <c r="J100" i="3"/>
  <c r="J81" i="3"/>
  <c r="J76" i="3"/>
  <c r="J47" i="3"/>
  <c r="L38" i="3"/>
  <c r="L73" i="3"/>
  <c r="J78" i="3"/>
  <c r="J77" i="3"/>
  <c r="J106" i="3"/>
  <c r="J101" i="3"/>
  <c r="J82" i="3"/>
  <c r="J102" i="3"/>
  <c r="J83" i="3"/>
  <c r="J107" i="3"/>
  <c r="I34" i="3"/>
  <c r="I178" i="3"/>
  <c r="J197" i="3"/>
  <c r="J185" i="3"/>
  <c r="K11" i="3"/>
  <c r="M11" i="3" s="1"/>
  <c r="J354" i="2"/>
  <c r="I269" i="2"/>
  <c r="J269" i="2" s="1"/>
  <c r="J270" i="2"/>
  <c r="J127" i="2"/>
  <c r="J336" i="2"/>
  <c r="J180" i="2"/>
  <c r="J106" i="2"/>
  <c r="J182" i="2"/>
  <c r="J457" i="2"/>
  <c r="J456" i="2"/>
  <c r="J181" i="2"/>
  <c r="J160" i="2"/>
  <c r="J100" i="2"/>
  <c r="D56" i="2"/>
  <c r="D55" i="2" s="1"/>
  <c r="J58" i="2"/>
  <c r="H35" i="1"/>
  <c r="J49" i="2"/>
  <c r="J191" i="2"/>
  <c r="J151" i="2"/>
  <c r="J196" i="2"/>
  <c r="J233" i="2"/>
  <c r="L244" i="2"/>
  <c r="J81" i="2"/>
  <c r="J186" i="2"/>
  <c r="J323" i="2"/>
  <c r="L379" i="2"/>
  <c r="L433" i="2"/>
  <c r="L19" i="2"/>
  <c r="J460" i="2"/>
  <c r="L36" i="2"/>
  <c r="L16" i="2"/>
  <c r="L22" i="2"/>
  <c r="J78" i="2"/>
  <c r="L190" i="2"/>
  <c r="J40" i="1"/>
  <c r="L35" i="2"/>
  <c r="L25" i="2"/>
  <c r="J41" i="2"/>
  <c r="J161" i="2"/>
  <c r="J384" i="2"/>
  <c r="J213" i="2"/>
  <c r="J159" i="2"/>
  <c r="J212" i="2"/>
  <c r="J73" i="2"/>
  <c r="J101" i="2"/>
  <c r="D86" i="2"/>
  <c r="D85" i="2" s="1"/>
  <c r="J88" i="2"/>
  <c r="J203" i="2"/>
  <c r="J111" i="2"/>
  <c r="L31" i="2"/>
  <c r="J450" i="2"/>
  <c r="J339" i="2"/>
  <c r="J292" i="2"/>
  <c r="L264" i="2"/>
  <c r="J377" i="2"/>
  <c r="J192" i="2"/>
  <c r="J293" i="2"/>
  <c r="J183" i="2"/>
  <c r="J133" i="2"/>
  <c r="J122" i="2"/>
  <c r="J239" i="2"/>
  <c r="H21" i="1"/>
  <c r="H20" i="1"/>
  <c r="I20" i="1" s="1"/>
  <c r="I24" i="7"/>
  <c r="J24" i="7" s="1"/>
  <c r="I57" i="7"/>
  <c r="J81" i="7"/>
  <c r="I51" i="7"/>
  <c r="J51" i="7" s="1"/>
  <c r="J45" i="7"/>
  <c r="J39" i="7"/>
  <c r="J78" i="7"/>
  <c r="L33" i="7"/>
  <c r="L13" i="7"/>
  <c r="K18" i="7"/>
  <c r="M18" i="7" s="1"/>
  <c r="L21" i="7"/>
  <c r="L19" i="7"/>
  <c r="L39" i="7"/>
  <c r="L87" i="7"/>
  <c r="J87" i="7"/>
  <c r="L16" i="7"/>
  <c r="J70" i="7"/>
  <c r="L57" i="7"/>
  <c r="L51" i="7"/>
  <c r="I21" i="7"/>
  <c r="J22" i="7"/>
  <c r="K73" i="1"/>
  <c r="J69" i="1"/>
  <c r="K69" i="1" s="1"/>
  <c r="K67" i="1"/>
  <c r="J66" i="1"/>
  <c r="J15" i="6"/>
  <c r="L99" i="6"/>
  <c r="J16" i="6"/>
  <c r="J75" i="1"/>
  <c r="K76" i="1"/>
  <c r="J17" i="9"/>
  <c r="K35" i="1"/>
  <c r="K30" i="1"/>
  <c r="K27" i="1"/>
  <c r="K18" i="1"/>
  <c r="I221" i="8"/>
  <c r="O221" i="8" s="1"/>
  <c r="J217" i="8"/>
  <c r="J214" i="8"/>
  <c r="I206" i="8"/>
  <c r="O206" i="8" s="1"/>
  <c r="J207" i="8"/>
  <c r="J25" i="8"/>
  <c r="I93" i="8"/>
  <c r="J93" i="8" s="1"/>
  <c r="J94" i="8"/>
  <c r="L25" i="6"/>
  <c r="L94" i="6"/>
  <c r="J128" i="6"/>
  <c r="J47" i="6"/>
  <c r="J83" i="6"/>
  <c r="J97" i="6"/>
  <c r="J119" i="6"/>
  <c r="J73" i="6"/>
  <c r="J124" i="6"/>
  <c r="K109" i="6"/>
  <c r="M109" i="6" s="1"/>
  <c r="L126" i="6"/>
  <c r="J37" i="6"/>
  <c r="J100" i="6"/>
  <c r="J131" i="6"/>
  <c r="J95" i="6"/>
  <c r="I17" i="6"/>
  <c r="J18" i="6"/>
  <c r="J76" i="6"/>
  <c r="J77" i="6"/>
  <c r="J79" i="6"/>
  <c r="J80" i="6"/>
  <c r="J70" i="6"/>
  <c r="I54" i="1"/>
  <c r="G38" i="2"/>
  <c r="J88" i="6"/>
  <c r="L30" i="6"/>
  <c r="I20" i="6"/>
  <c r="J21" i="6"/>
  <c r="I223" i="2"/>
  <c r="J223" i="2" s="1"/>
  <c r="I207" i="2"/>
  <c r="J207" i="2" s="1"/>
  <c r="I22" i="2"/>
  <c r="I486" i="2"/>
  <c r="J486" i="2" s="1"/>
  <c r="M21" i="2"/>
  <c r="H70" i="1"/>
  <c r="I482" i="2"/>
  <c r="J482" i="2" s="1"/>
  <c r="I470" i="2"/>
  <c r="J470" i="2" s="1"/>
  <c r="I458" i="2"/>
  <c r="I478" i="2"/>
  <c r="J478" i="2" s="1"/>
  <c r="I162" i="2"/>
  <c r="J162" i="2" s="1"/>
  <c r="I238" i="2"/>
  <c r="J238" i="2" s="1"/>
  <c r="K20" i="2"/>
  <c r="M20" i="2" s="1"/>
  <c r="K107" i="2"/>
  <c r="M107" i="2" s="1"/>
  <c r="I77" i="2"/>
  <c r="J20" i="1"/>
  <c r="L20" i="1" s="1"/>
  <c r="K432" i="2"/>
  <c r="I31" i="2"/>
  <c r="K29" i="2"/>
  <c r="M29" i="2" s="1"/>
  <c r="K321" i="2"/>
  <c r="M321" i="2" s="1"/>
  <c r="I35" i="2"/>
  <c r="J35" i="2" s="1"/>
  <c r="K316" i="2"/>
  <c r="M316" i="2" s="1"/>
  <c r="J25" i="1"/>
  <c r="L25" i="1" s="1"/>
  <c r="J16" i="1"/>
  <c r="L16" i="1" s="1"/>
  <c r="I439" i="2"/>
  <c r="I490" i="2"/>
  <c r="J490" i="2" s="1"/>
  <c r="H67" i="1"/>
  <c r="I67" i="1" s="1"/>
  <c r="I9" i="7"/>
  <c r="D28" i="10"/>
  <c r="F9" i="3"/>
  <c r="L50" i="5"/>
  <c r="I172" i="3"/>
  <c r="D439" i="2"/>
  <c r="D438" i="2" s="1"/>
  <c r="G429" i="2"/>
  <c r="E33" i="2"/>
  <c r="H76" i="1"/>
  <c r="I76" i="1" s="1"/>
  <c r="E14" i="10"/>
  <c r="H9" i="3"/>
  <c r="I60" i="9"/>
  <c r="J15" i="7"/>
  <c r="I74" i="8"/>
  <c r="J55" i="5"/>
  <c r="C60" i="1"/>
  <c r="D16" i="4"/>
  <c r="C61" i="1" s="1"/>
  <c r="G13" i="1"/>
  <c r="G89" i="1" s="1"/>
  <c r="E439" i="2"/>
  <c r="E438" i="2" s="1"/>
  <c r="F429" i="2"/>
  <c r="I256" i="8"/>
  <c r="I255" i="8" s="1"/>
  <c r="O255" i="8" s="1"/>
  <c r="I241" i="8"/>
  <c r="O241" i="8" s="1"/>
  <c r="J112" i="6"/>
  <c r="I115" i="2"/>
  <c r="J115" i="2" s="1"/>
  <c r="J41" i="1"/>
  <c r="L41" i="1" s="1"/>
  <c r="I22" i="4"/>
  <c r="H71" i="1"/>
  <c r="I71" i="1" s="1"/>
  <c r="I15" i="4"/>
  <c r="I28" i="9"/>
  <c r="I48" i="8"/>
  <c r="J48" i="8" s="1"/>
  <c r="I34" i="8"/>
  <c r="J34" i="8" s="1"/>
  <c r="E22" i="1"/>
  <c r="H59" i="1"/>
  <c r="I59" i="1" s="1"/>
  <c r="D22" i="4"/>
  <c r="E56" i="1"/>
  <c r="I24" i="2"/>
  <c r="I20" i="2"/>
  <c r="K15" i="2"/>
  <c r="E29" i="2"/>
  <c r="D32" i="1" s="1"/>
  <c r="D29" i="1" s="1"/>
  <c r="K27" i="2"/>
  <c r="M27" i="2" s="1"/>
  <c r="E16" i="2"/>
  <c r="D16" i="1" s="1"/>
  <c r="I379" i="2"/>
  <c r="J379" i="2" s="1"/>
  <c r="I28" i="2"/>
  <c r="J28" i="2" s="1"/>
  <c r="I30" i="2"/>
  <c r="J30" i="2" s="1"/>
  <c r="D371" i="2"/>
  <c r="D370" i="2" s="1"/>
  <c r="D17" i="2"/>
  <c r="F370" i="2"/>
  <c r="D211" i="2"/>
  <c r="H26" i="2"/>
  <c r="I322" i="2"/>
  <c r="D22" i="2"/>
  <c r="D322" i="2"/>
  <c r="G432" i="2"/>
  <c r="J249" i="2"/>
  <c r="F43" i="2"/>
  <c r="F38" i="2" s="1"/>
  <c r="D303" i="2"/>
  <c r="J303" i="2" s="1"/>
  <c r="D386" i="2"/>
  <c r="J386" i="2" s="1"/>
  <c r="L47" i="2"/>
  <c r="D459" i="2"/>
  <c r="D458" i="2" s="1"/>
  <c r="I108" i="2"/>
  <c r="J108" i="2" s="1"/>
  <c r="I47" i="2"/>
  <c r="D142" i="3"/>
  <c r="I49" i="3"/>
  <c r="D62" i="3"/>
  <c r="D61" i="3" s="1"/>
  <c r="D74" i="3"/>
  <c r="D73" i="3" s="1"/>
  <c r="D130" i="3"/>
  <c r="E142" i="3"/>
  <c r="D148" i="3"/>
  <c r="I44" i="3"/>
  <c r="J44" i="3" s="1"/>
  <c r="D136" i="3"/>
  <c r="E172" i="3"/>
  <c r="D98" i="3"/>
  <c r="D97" i="3" s="1"/>
  <c r="K18" i="3"/>
  <c r="M18" i="3" s="1"/>
  <c r="K12" i="3"/>
  <c r="E97" i="3"/>
  <c r="J66" i="5"/>
  <c r="G22" i="1"/>
  <c r="K11" i="6"/>
  <c r="I22" i="6"/>
  <c r="J22" i="6" s="1"/>
  <c r="K12" i="6"/>
  <c r="M12" i="6" s="1"/>
  <c r="J99" i="6"/>
  <c r="F75" i="1"/>
  <c r="F68" i="1" s="1"/>
  <c r="G75" i="1"/>
  <c r="K13" i="6"/>
  <c r="M13" i="6" s="1"/>
  <c r="I213" i="8"/>
  <c r="J213" i="8" s="1"/>
  <c r="K232" i="8"/>
  <c r="D34" i="4"/>
  <c r="K21" i="4"/>
  <c r="M21" i="4" s="1"/>
  <c r="E73" i="3"/>
  <c r="I158" i="3"/>
  <c r="J158" i="3" s="1"/>
  <c r="D455" i="2"/>
  <c r="D454" i="2" s="1"/>
  <c r="D202" i="2"/>
  <c r="J202" i="2" s="1"/>
  <c r="J244" i="2"/>
  <c r="E43" i="2"/>
  <c r="E38" i="2" s="1"/>
  <c r="E25" i="2"/>
  <c r="D27" i="1" s="1"/>
  <c r="K39" i="2"/>
  <c r="M39" i="2" s="1"/>
  <c r="J21" i="1"/>
  <c r="L21" i="1" s="1"/>
  <c r="H15" i="2"/>
  <c r="F21" i="2"/>
  <c r="J50" i="9"/>
  <c r="K238" i="8"/>
  <c r="M238" i="8" s="1"/>
  <c r="I120" i="8"/>
  <c r="J120" i="8" s="1"/>
  <c r="I30" i="8"/>
  <c r="O30" i="8" s="1"/>
  <c r="K23" i="8"/>
  <c r="M23" i="8" s="1"/>
  <c r="J57" i="7"/>
  <c r="K131" i="2"/>
  <c r="M131" i="2" s="1"/>
  <c r="E99" i="2"/>
  <c r="D77" i="2"/>
  <c r="I62" i="2"/>
  <c r="J62" i="2" s="1"/>
  <c r="E20" i="2"/>
  <c r="G15" i="2"/>
  <c r="G14" i="2" s="1"/>
  <c r="F15" i="2"/>
  <c r="I134" i="3"/>
  <c r="J134" i="3" s="1"/>
  <c r="I260" i="2"/>
  <c r="J260" i="2" s="1"/>
  <c r="I194" i="2"/>
  <c r="J194" i="2" s="1"/>
  <c r="I179" i="2"/>
  <c r="J179" i="2" s="1"/>
  <c r="E166" i="2"/>
  <c r="K85" i="2"/>
  <c r="M85" i="2" s="1"/>
  <c r="I69" i="2"/>
  <c r="I195" i="8"/>
  <c r="I21" i="8"/>
  <c r="K12" i="8"/>
  <c r="I132" i="8"/>
  <c r="O132" i="8" s="1"/>
  <c r="I16" i="8"/>
  <c r="O16" i="8" s="1"/>
  <c r="I252" i="8"/>
  <c r="J69" i="7"/>
  <c r="I29" i="4"/>
  <c r="E28" i="4"/>
  <c r="K12" i="4"/>
  <c r="M12" i="4" s="1"/>
  <c r="I196" i="3"/>
  <c r="J196" i="3" s="1"/>
  <c r="I131" i="3"/>
  <c r="J131" i="3" s="1"/>
  <c r="I104" i="3"/>
  <c r="J104" i="3" s="1"/>
  <c r="E103" i="3"/>
  <c r="I98" i="3"/>
  <c r="D160" i="3"/>
  <c r="E154" i="3"/>
  <c r="E11" i="3" s="1"/>
  <c r="I65" i="3"/>
  <c r="J65" i="3" s="1"/>
  <c r="E61" i="3"/>
  <c r="I474" i="2"/>
  <c r="J474" i="2" s="1"/>
  <c r="I454" i="2"/>
  <c r="D444" i="2"/>
  <c r="K378" i="2"/>
  <c r="M378" i="2" s="1"/>
  <c r="K370" i="2"/>
  <c r="M370" i="2" s="1"/>
  <c r="D320" i="2"/>
  <c r="D24" i="2" s="1"/>
  <c r="C25" i="1" s="1"/>
  <c r="D355" i="2"/>
  <c r="J355" i="2" s="1"/>
  <c r="D318" i="2"/>
  <c r="D317" i="2" s="1"/>
  <c r="D353" i="2"/>
  <c r="D352" i="2" s="1"/>
  <c r="T14" i="7"/>
  <c r="T15" i="7" s="1"/>
  <c r="I139" i="3"/>
  <c r="D51" i="4"/>
  <c r="I319" i="2"/>
  <c r="I273" i="2"/>
  <c r="J273" i="2" s="1"/>
  <c r="I255" i="2"/>
  <c r="J255" i="2" s="1"/>
  <c r="I232" i="2"/>
  <c r="J232" i="2" s="1"/>
  <c r="E190" i="2"/>
  <c r="E178" i="2"/>
  <c r="I172" i="2"/>
  <c r="J172" i="2" s="1"/>
  <c r="I167" i="2"/>
  <c r="J167" i="2" s="1"/>
  <c r="I158" i="2"/>
  <c r="E157" i="2"/>
  <c r="I145" i="2"/>
  <c r="J145" i="2" s="1"/>
  <c r="I131" i="2"/>
  <c r="J131" i="2" s="1"/>
  <c r="I92" i="2"/>
  <c r="J92" i="2" s="1"/>
  <c r="E69" i="2"/>
  <c r="I243" i="8"/>
  <c r="O243" i="8" s="1"/>
  <c r="I23" i="9"/>
  <c r="I199" i="8"/>
  <c r="I192" i="8"/>
  <c r="I26" i="8"/>
  <c r="I138" i="8"/>
  <c r="O138" i="8" s="1"/>
  <c r="I54" i="8"/>
  <c r="J54" i="8" s="1"/>
  <c r="I40" i="8"/>
  <c r="J40" i="8" s="1"/>
  <c r="I202" i="8"/>
  <c r="I31" i="8"/>
  <c r="I14" i="8"/>
  <c r="I234" i="8"/>
  <c r="J39" i="4"/>
  <c r="D29" i="4"/>
  <c r="D28" i="4" s="1"/>
  <c r="E166" i="3"/>
  <c r="I151" i="3"/>
  <c r="J151" i="3" s="1"/>
  <c r="I137" i="3"/>
  <c r="J137" i="3" s="1"/>
  <c r="I43" i="3"/>
  <c r="I80" i="3"/>
  <c r="E79" i="3"/>
  <c r="I74" i="3"/>
  <c r="J74" i="3" s="1"/>
  <c r="E160" i="3"/>
  <c r="D155" i="3"/>
  <c r="D154" i="3" s="1"/>
  <c r="D11" i="3" s="1"/>
  <c r="I70" i="3"/>
  <c r="J70" i="3" s="1"/>
  <c r="E67" i="3"/>
  <c r="I55" i="3"/>
  <c r="J55" i="3" s="1"/>
  <c r="I444" i="2"/>
  <c r="J394" i="2"/>
  <c r="I378" i="2"/>
  <c r="I370" i="2"/>
  <c r="I353" i="2"/>
  <c r="I318" i="2"/>
  <c r="E352" i="2"/>
  <c r="I343" i="2"/>
  <c r="J343" i="2" s="1"/>
  <c r="I335" i="2"/>
  <c r="J335" i="2" s="1"/>
  <c r="I51" i="4"/>
  <c r="I142" i="3"/>
  <c r="J142" i="3" s="1"/>
  <c r="I160" i="3"/>
  <c r="D49" i="3"/>
  <c r="I184" i="2"/>
  <c r="J184" i="2" s="1"/>
  <c r="D178" i="2"/>
  <c r="D170" i="2"/>
  <c r="D166" i="2" s="1"/>
  <c r="D158" i="2"/>
  <c r="D157" i="2" s="1"/>
  <c r="I104" i="2"/>
  <c r="J104" i="2" s="1"/>
  <c r="I89" i="2"/>
  <c r="J89" i="2" s="1"/>
  <c r="K69" i="2"/>
  <c r="M69" i="2" s="1"/>
  <c r="D70" i="2"/>
  <c r="D69" i="2" s="1"/>
  <c r="I55" i="2"/>
  <c r="I211" i="2"/>
  <c r="J211" i="2" s="1"/>
  <c r="K107" i="6" l="1"/>
  <c r="E10" i="3"/>
  <c r="E9" i="3" s="1"/>
  <c r="J139" i="3"/>
  <c r="D67" i="3"/>
  <c r="J21" i="7"/>
  <c r="I18" i="7"/>
  <c r="J22" i="3"/>
  <c r="J20" i="3"/>
  <c r="J17" i="3"/>
  <c r="M10" i="3"/>
  <c r="K13" i="2"/>
  <c r="J370" i="2"/>
  <c r="J318" i="2"/>
  <c r="J45" i="2"/>
  <c r="D39" i="2"/>
  <c r="M33" i="2"/>
  <c r="F55" i="1"/>
  <c r="F53" i="1" s="1"/>
  <c r="M431" i="2"/>
  <c r="M432" i="2"/>
  <c r="J43" i="3"/>
  <c r="M13" i="2"/>
  <c r="J55" i="2"/>
  <c r="M232" i="8"/>
  <c r="L55" i="1" s="1"/>
  <c r="L53" i="1" s="1"/>
  <c r="J55" i="1"/>
  <c r="J28" i="9"/>
  <c r="M14" i="9"/>
  <c r="J60" i="9"/>
  <c r="J14" i="9"/>
  <c r="D53" i="1"/>
  <c r="G82" i="1"/>
  <c r="E82" i="1"/>
  <c r="F82" i="1"/>
  <c r="M79" i="1"/>
  <c r="E44" i="1"/>
  <c r="E90" i="1" s="1"/>
  <c r="I70" i="1"/>
  <c r="L57" i="1"/>
  <c r="L56" i="1" s="1"/>
  <c r="I63" i="1"/>
  <c r="K33" i="1"/>
  <c r="L40" i="1"/>
  <c r="J37" i="1"/>
  <c r="J9" i="7"/>
  <c r="M15" i="2"/>
  <c r="J300" i="2"/>
  <c r="C13" i="1"/>
  <c r="M11" i="6"/>
  <c r="L15" i="1"/>
  <c r="J45" i="4"/>
  <c r="M78" i="1"/>
  <c r="J23" i="9"/>
  <c r="I12" i="9"/>
  <c r="J23" i="10"/>
  <c r="I12" i="10"/>
  <c r="J12" i="10" s="1"/>
  <c r="O252" i="8"/>
  <c r="J252" i="8"/>
  <c r="K17" i="1"/>
  <c r="L11" i="8"/>
  <c r="O151" i="8"/>
  <c r="M12" i="8"/>
  <c r="M107" i="6"/>
  <c r="D57" i="1"/>
  <c r="D56" i="1" s="1"/>
  <c r="D16" i="2"/>
  <c r="C16" i="1" s="1"/>
  <c r="M12" i="3"/>
  <c r="J160" i="3"/>
  <c r="J98" i="3"/>
  <c r="J178" i="3"/>
  <c r="J12" i="1"/>
  <c r="L22" i="1"/>
  <c r="K46" i="2"/>
  <c r="I431" i="2"/>
  <c r="D431" i="2"/>
  <c r="J15" i="3"/>
  <c r="L78" i="1"/>
  <c r="M25" i="1"/>
  <c r="L370" i="2"/>
  <c r="L131" i="2"/>
  <c r="J14" i="10"/>
  <c r="J62" i="3"/>
  <c r="J42" i="2"/>
  <c r="C21" i="1"/>
  <c r="I21" i="1" s="1"/>
  <c r="I61" i="3"/>
  <c r="J353" i="2"/>
  <c r="J378" i="2"/>
  <c r="J444" i="2"/>
  <c r="J38" i="3"/>
  <c r="L378" i="2"/>
  <c r="J454" i="2"/>
  <c r="J32" i="8"/>
  <c r="G68" i="1"/>
  <c r="J17" i="2"/>
  <c r="C17" i="1"/>
  <c r="I17" i="1" s="1"/>
  <c r="F13" i="1"/>
  <c r="F89" i="1" s="1"/>
  <c r="L321" i="2"/>
  <c r="J31" i="2"/>
  <c r="I109" i="6"/>
  <c r="J56" i="1"/>
  <c r="J34" i="3"/>
  <c r="I48" i="5"/>
  <c r="J65" i="5"/>
  <c r="J155" i="3"/>
  <c r="F11" i="2"/>
  <c r="E13" i="1"/>
  <c r="E89" i="1" s="1"/>
  <c r="G83" i="1"/>
  <c r="G11" i="1"/>
  <c r="J61" i="8"/>
  <c r="O61" i="8"/>
  <c r="O247" i="8"/>
  <c r="O40" i="8"/>
  <c r="J234" i="8"/>
  <c r="O234" i="8"/>
  <c r="J256" i="8"/>
  <c r="O256" i="8"/>
  <c r="O93" i="8"/>
  <c r="O34" i="8"/>
  <c r="O213" i="8"/>
  <c r="L69" i="1"/>
  <c r="L68" i="1" s="1"/>
  <c r="K21" i="1"/>
  <c r="K79" i="1"/>
  <c r="K78" i="1"/>
  <c r="J9" i="4"/>
  <c r="C57" i="1"/>
  <c r="C78" i="1"/>
  <c r="I107" i="6"/>
  <c r="J28" i="10"/>
  <c r="L11" i="3"/>
  <c r="L13" i="9"/>
  <c r="J41" i="9"/>
  <c r="L12" i="4"/>
  <c r="L21" i="4"/>
  <c r="J49" i="3"/>
  <c r="H26" i="1"/>
  <c r="I26" i="1" s="1"/>
  <c r="O21" i="8"/>
  <c r="J195" i="8"/>
  <c r="O195" i="8"/>
  <c r="J14" i="8"/>
  <c r="O14" i="8"/>
  <c r="J199" i="8"/>
  <c r="O199" i="8"/>
  <c r="J192" i="8"/>
  <c r="O192" i="8"/>
  <c r="J202" i="8"/>
  <c r="O202" i="8"/>
  <c r="H39" i="1"/>
  <c r="O31" i="8"/>
  <c r="K9" i="8"/>
  <c r="O9" i="8" s="1"/>
  <c r="O74" i="8"/>
  <c r="O114" i="8"/>
  <c r="O54" i="8"/>
  <c r="H31" i="1"/>
  <c r="O26" i="8"/>
  <c r="O120" i="8"/>
  <c r="O48" i="8"/>
  <c r="L46" i="2"/>
  <c r="L18" i="3"/>
  <c r="L12" i="6"/>
  <c r="L12" i="3"/>
  <c r="D172" i="3"/>
  <c r="D166" i="3"/>
  <c r="D10" i="3" s="1"/>
  <c r="J167" i="3"/>
  <c r="L431" i="2"/>
  <c r="L20" i="2"/>
  <c r="L21" i="2"/>
  <c r="L85" i="2"/>
  <c r="L39" i="2"/>
  <c r="E15" i="2"/>
  <c r="J51" i="4"/>
  <c r="J29" i="4"/>
  <c r="J22" i="4"/>
  <c r="J34" i="4"/>
  <c r="H60" i="1"/>
  <c r="G9" i="3"/>
  <c r="L10" i="3"/>
  <c r="L12" i="9"/>
  <c r="L19" i="9"/>
  <c r="I19" i="9"/>
  <c r="J20" i="9"/>
  <c r="J12" i="9"/>
  <c r="L12" i="8"/>
  <c r="L238" i="8"/>
  <c r="L23" i="8"/>
  <c r="I137" i="8"/>
  <c r="J138" i="8"/>
  <c r="J83" i="8"/>
  <c r="J16" i="8"/>
  <c r="H18" i="1"/>
  <c r="I18" i="1" s="1"/>
  <c r="L232" i="8"/>
  <c r="H34" i="1"/>
  <c r="I34" i="1" s="1"/>
  <c r="J28" i="8"/>
  <c r="J243" i="8"/>
  <c r="I131" i="8"/>
  <c r="I11" i="8" s="1"/>
  <c r="J132" i="8"/>
  <c r="J255" i="8"/>
  <c r="H72" i="1"/>
  <c r="I72" i="1" s="1"/>
  <c r="J241" i="8"/>
  <c r="J20" i="8"/>
  <c r="J80" i="3"/>
  <c r="J69" i="2"/>
  <c r="J48" i="2"/>
  <c r="L27" i="2"/>
  <c r="L15" i="2"/>
  <c r="J439" i="2"/>
  <c r="L316" i="2"/>
  <c r="J77" i="2"/>
  <c r="J458" i="2"/>
  <c r="J22" i="2"/>
  <c r="J434" i="2"/>
  <c r="J170" i="2"/>
  <c r="J70" i="2"/>
  <c r="J320" i="2"/>
  <c r="J86" i="2"/>
  <c r="J459" i="2"/>
  <c r="J158" i="2"/>
  <c r="J322" i="2"/>
  <c r="H25" i="1"/>
  <c r="J24" i="2"/>
  <c r="L432" i="2"/>
  <c r="I16" i="2"/>
  <c r="I15" i="2" s="1"/>
  <c r="J455" i="2"/>
  <c r="J56" i="2"/>
  <c r="J371" i="2"/>
  <c r="I36" i="2"/>
  <c r="I33" i="2" s="1"/>
  <c r="H33" i="1"/>
  <c r="I33" i="1" s="1"/>
  <c r="H40" i="1"/>
  <c r="D29" i="2"/>
  <c r="H30" i="1"/>
  <c r="I61" i="1"/>
  <c r="J18" i="7"/>
  <c r="L18" i="7"/>
  <c r="J34" i="7"/>
  <c r="J75" i="7"/>
  <c r="L107" i="6"/>
  <c r="L109" i="6"/>
  <c r="K75" i="1"/>
  <c r="J68" i="1"/>
  <c r="K68" i="1" s="1"/>
  <c r="K16" i="1"/>
  <c r="K20" i="1"/>
  <c r="I35" i="1"/>
  <c r="K41" i="1"/>
  <c r="K25" i="1"/>
  <c r="K40" i="1"/>
  <c r="J221" i="8"/>
  <c r="J31" i="8"/>
  <c r="J26" i="8"/>
  <c r="J21" i="8"/>
  <c r="J206" i="8"/>
  <c r="J30" i="8"/>
  <c r="J74" i="8"/>
  <c r="L12" i="7"/>
  <c r="J11" i="7"/>
  <c r="J127" i="6"/>
  <c r="L13" i="6"/>
  <c r="J36" i="6"/>
  <c r="J69" i="6"/>
  <c r="J72" i="6"/>
  <c r="J28" i="6"/>
  <c r="J123" i="6"/>
  <c r="J26" i="6"/>
  <c r="L11" i="6"/>
  <c r="K10" i="6"/>
  <c r="J17" i="6"/>
  <c r="J33" i="6"/>
  <c r="J31" i="6"/>
  <c r="J20" i="6"/>
  <c r="I85" i="2"/>
  <c r="J85" i="2" s="1"/>
  <c r="H62" i="1"/>
  <c r="H78" i="1" s="1"/>
  <c r="I18" i="2"/>
  <c r="I29" i="2"/>
  <c r="K26" i="2"/>
  <c r="M26" i="2" s="1"/>
  <c r="J32" i="1"/>
  <c r="K38" i="2"/>
  <c r="I25" i="2"/>
  <c r="I21" i="2" s="1"/>
  <c r="I438" i="2"/>
  <c r="J438" i="2" s="1"/>
  <c r="I58" i="1"/>
  <c r="H11" i="2"/>
  <c r="O81" i="1" s="1"/>
  <c r="J50" i="5"/>
  <c r="D13" i="4"/>
  <c r="I11" i="10"/>
  <c r="K48" i="5"/>
  <c r="D13" i="1"/>
  <c r="D89" i="1" s="1"/>
  <c r="J111" i="6"/>
  <c r="I239" i="8"/>
  <c r="J52" i="5"/>
  <c r="C79" i="1"/>
  <c r="C69" i="1"/>
  <c r="G11" i="2"/>
  <c r="K14" i="2"/>
  <c r="K9" i="3"/>
  <c r="I21" i="4"/>
  <c r="K11" i="9"/>
  <c r="M26" i="1"/>
  <c r="M18" i="1"/>
  <c r="J15" i="1"/>
  <c r="G15" i="1"/>
  <c r="G14" i="1" s="1"/>
  <c r="D22" i="1"/>
  <c r="E15" i="1"/>
  <c r="E14" i="1" s="1"/>
  <c r="F15" i="1"/>
  <c r="F14" i="1" s="1"/>
  <c r="F43" i="1" s="1"/>
  <c r="D21" i="4"/>
  <c r="G66" i="1"/>
  <c r="G56" i="1" s="1"/>
  <c r="F66" i="1"/>
  <c r="D15" i="1"/>
  <c r="D19" i="3"/>
  <c r="D12" i="1"/>
  <c r="D88" i="1" s="1"/>
  <c r="E27" i="2"/>
  <c r="E26" i="2" s="1"/>
  <c r="K429" i="2"/>
  <c r="I27" i="2"/>
  <c r="I433" i="2"/>
  <c r="F14" i="2"/>
  <c r="I321" i="2"/>
  <c r="D321" i="2"/>
  <c r="I107" i="2"/>
  <c r="J107" i="2" s="1"/>
  <c r="I154" i="3"/>
  <c r="I11" i="3" s="1"/>
  <c r="D13" i="3"/>
  <c r="C75" i="1"/>
  <c r="I12" i="6"/>
  <c r="J12" i="6" s="1"/>
  <c r="I19" i="6"/>
  <c r="J19" i="6" s="1"/>
  <c r="C66" i="1"/>
  <c r="K230" i="8"/>
  <c r="H14" i="2"/>
  <c r="E21" i="2"/>
  <c r="D25" i="2"/>
  <c r="C27" i="1" s="1"/>
  <c r="C22" i="1" s="1"/>
  <c r="D43" i="2"/>
  <c r="I51" i="2"/>
  <c r="I317" i="2"/>
  <c r="J317" i="2" s="1"/>
  <c r="I19" i="3"/>
  <c r="I73" i="3"/>
  <c r="J73" i="3" s="1"/>
  <c r="I136" i="3"/>
  <c r="J136" i="3" s="1"/>
  <c r="J38" i="4"/>
  <c r="I13" i="8"/>
  <c r="I24" i="8"/>
  <c r="I191" i="8"/>
  <c r="I10" i="8" s="1"/>
  <c r="D319" i="2"/>
  <c r="J319" i="2" s="1"/>
  <c r="I97" i="3"/>
  <c r="J97" i="3" s="1"/>
  <c r="I232" i="8"/>
  <c r="I14" i="6"/>
  <c r="J14" i="6" s="1"/>
  <c r="J122" i="6"/>
  <c r="I178" i="2"/>
  <c r="J178" i="2" s="1"/>
  <c r="I190" i="2"/>
  <c r="J190" i="2" s="1"/>
  <c r="H75" i="1"/>
  <c r="D20" i="2"/>
  <c r="J20" i="2" s="1"/>
  <c r="I334" i="2"/>
  <c r="I352" i="2"/>
  <c r="J352" i="2" s="1"/>
  <c r="I198" i="8"/>
  <c r="I130" i="3"/>
  <c r="J130" i="3" s="1"/>
  <c r="I28" i="4"/>
  <c r="J28" i="4" s="1"/>
  <c r="I43" i="2"/>
  <c r="I99" i="2"/>
  <c r="D38" i="2"/>
  <c r="D433" i="2"/>
  <c r="D432" i="2" s="1"/>
  <c r="I16" i="3"/>
  <c r="H66" i="1"/>
  <c r="I67" i="3"/>
  <c r="J67" i="3" s="1"/>
  <c r="I79" i="3"/>
  <c r="I148" i="3"/>
  <c r="J148" i="3" s="1"/>
  <c r="I233" i="8"/>
  <c r="J126" i="6"/>
  <c r="I29" i="8"/>
  <c r="O29" i="8" s="1"/>
  <c r="I39" i="2"/>
  <c r="I157" i="2"/>
  <c r="J157" i="2" s="1"/>
  <c r="I166" i="2"/>
  <c r="J166" i="2" s="1"/>
  <c r="D36" i="2"/>
  <c r="D33" i="2" s="1"/>
  <c r="D51" i="2"/>
  <c r="D46" i="2" s="1"/>
  <c r="D21" i="3"/>
  <c r="D16" i="3"/>
  <c r="I103" i="3"/>
  <c r="J103" i="3" s="1"/>
  <c r="J33" i="7"/>
  <c r="I18" i="8"/>
  <c r="O18" i="8" s="1"/>
  <c r="I13" i="3"/>
  <c r="I12" i="3" s="1"/>
  <c r="K55" i="1" l="1"/>
  <c r="I10" i="3"/>
  <c r="J10" i="3" s="1"/>
  <c r="H79" i="1"/>
  <c r="I9" i="3"/>
  <c r="J88" i="1"/>
  <c r="D12" i="4"/>
  <c r="J13" i="4"/>
  <c r="D9" i="3"/>
  <c r="I14" i="2"/>
  <c r="I13" i="2"/>
  <c r="J13" i="2" s="1"/>
  <c r="J431" i="2"/>
  <c r="C32" i="1"/>
  <c r="C29" i="1" s="1"/>
  <c r="D27" i="2"/>
  <c r="D26" i="2" s="1"/>
  <c r="E14" i="2"/>
  <c r="D429" i="2"/>
  <c r="C55" i="1"/>
  <c r="C89" i="1" s="1"/>
  <c r="D21" i="2"/>
  <c r="M48" i="5"/>
  <c r="M429" i="2"/>
  <c r="M46" i="2"/>
  <c r="M38" i="2"/>
  <c r="M230" i="8"/>
  <c r="J232" i="8"/>
  <c r="H55" i="1"/>
  <c r="G87" i="1"/>
  <c r="M12" i="1"/>
  <c r="D82" i="1"/>
  <c r="F11" i="1"/>
  <c r="L37" i="1"/>
  <c r="I62" i="1"/>
  <c r="I31" i="1"/>
  <c r="I25" i="1"/>
  <c r="I39" i="1"/>
  <c r="M14" i="2"/>
  <c r="M10" i="6"/>
  <c r="L32" i="1"/>
  <c r="L29" i="1" s="1"/>
  <c r="J29" i="1"/>
  <c r="K29" i="1" s="1"/>
  <c r="I60" i="1"/>
  <c r="H57" i="1"/>
  <c r="J61" i="3"/>
  <c r="M11" i="9"/>
  <c r="M21" i="1"/>
  <c r="M19" i="1"/>
  <c r="H69" i="1"/>
  <c r="I69" i="1" s="1"/>
  <c r="M9" i="8"/>
  <c r="J99" i="2"/>
  <c r="J11" i="10"/>
  <c r="F83" i="1"/>
  <c r="J334" i="2"/>
  <c r="M9" i="3"/>
  <c r="L14" i="1"/>
  <c r="D28" i="1"/>
  <c r="D44" i="1" s="1"/>
  <c r="I75" i="1"/>
  <c r="C15" i="1"/>
  <c r="J53" i="1"/>
  <c r="J154" i="3"/>
  <c r="C12" i="1"/>
  <c r="C88" i="1" s="1"/>
  <c r="J13" i="3"/>
  <c r="J43" i="2"/>
  <c r="J39" i="2"/>
  <c r="C56" i="1"/>
  <c r="N78" i="1"/>
  <c r="C41" i="1"/>
  <c r="M17" i="1"/>
  <c r="D83" i="1"/>
  <c r="D11" i="1"/>
  <c r="E11" i="1"/>
  <c r="E83" i="1"/>
  <c r="E87" i="1" s="1"/>
  <c r="K37" i="1"/>
  <c r="J233" i="8"/>
  <c r="O233" i="8"/>
  <c r="O191" i="8"/>
  <c r="O232" i="8"/>
  <c r="O230" i="8"/>
  <c r="J239" i="8"/>
  <c r="O239" i="8"/>
  <c r="N79" i="1"/>
  <c r="K12" i="1"/>
  <c r="J82" i="1"/>
  <c r="F81" i="1"/>
  <c r="E84" i="1"/>
  <c r="L48" i="5"/>
  <c r="I40" i="1"/>
  <c r="L12" i="1"/>
  <c r="J198" i="8"/>
  <c r="O198" i="8"/>
  <c r="J10" i="8"/>
  <c r="L9" i="8"/>
  <c r="O10" i="8"/>
  <c r="J24" i="8"/>
  <c r="O24" i="8"/>
  <c r="J137" i="8"/>
  <c r="O137" i="8"/>
  <c r="J13" i="8"/>
  <c r="O13" i="8"/>
  <c r="J11" i="8"/>
  <c r="O11" i="8"/>
  <c r="J131" i="8"/>
  <c r="O131" i="8"/>
  <c r="L26" i="2"/>
  <c r="J19" i="3"/>
  <c r="D18" i="3"/>
  <c r="J21" i="3"/>
  <c r="J172" i="3"/>
  <c r="J166" i="3"/>
  <c r="L429" i="2"/>
  <c r="L14" i="2"/>
  <c r="L38" i="2"/>
  <c r="J13" i="1"/>
  <c r="J89" i="1" s="1"/>
  <c r="L13" i="1"/>
  <c r="L83" i="1" s="1"/>
  <c r="D11" i="2"/>
  <c r="J21" i="4"/>
  <c r="D12" i="3"/>
  <c r="J16" i="3"/>
  <c r="L9" i="3"/>
  <c r="L11" i="9"/>
  <c r="J19" i="9"/>
  <c r="L230" i="8"/>
  <c r="J191" i="8"/>
  <c r="J79" i="3"/>
  <c r="J11" i="3"/>
  <c r="J47" i="2"/>
  <c r="J33" i="2"/>
  <c r="H19" i="1"/>
  <c r="I19" i="1" s="1"/>
  <c r="J18" i="2"/>
  <c r="J51" i="2"/>
  <c r="J321" i="2"/>
  <c r="J433" i="2"/>
  <c r="J27" i="2"/>
  <c r="J25" i="2"/>
  <c r="L13" i="2"/>
  <c r="K11" i="2"/>
  <c r="M11" i="2" s="1"/>
  <c r="J36" i="2"/>
  <c r="J16" i="2"/>
  <c r="H41" i="1"/>
  <c r="H37" i="1" s="1"/>
  <c r="H32" i="1"/>
  <c r="I32" i="1" s="1"/>
  <c r="J29" i="2"/>
  <c r="H16" i="1"/>
  <c r="H15" i="1" s="1"/>
  <c r="H27" i="1"/>
  <c r="H22" i="1" s="1"/>
  <c r="I30" i="1"/>
  <c r="I66" i="1"/>
  <c r="L10" i="6"/>
  <c r="F56" i="1"/>
  <c r="K56" i="1" s="1"/>
  <c r="K66" i="1"/>
  <c r="K15" i="1"/>
  <c r="J29" i="8"/>
  <c r="J18" i="8"/>
  <c r="J30" i="6"/>
  <c r="I429" i="2"/>
  <c r="C68" i="1"/>
  <c r="I432" i="2"/>
  <c r="I26" i="2"/>
  <c r="D14" i="1"/>
  <c r="J48" i="5"/>
  <c r="E11" i="2"/>
  <c r="I238" i="8"/>
  <c r="E43" i="1"/>
  <c r="G43" i="1"/>
  <c r="J22" i="1"/>
  <c r="K22" i="1" s="1"/>
  <c r="D316" i="2"/>
  <c r="I11" i="6"/>
  <c r="J11" i="6" s="1"/>
  <c r="I12" i="4"/>
  <c r="J12" i="4" s="1"/>
  <c r="D15" i="2"/>
  <c r="I12" i="8"/>
  <c r="I9" i="8"/>
  <c r="I38" i="2"/>
  <c r="I11" i="9"/>
  <c r="J12" i="7"/>
  <c r="G28" i="1"/>
  <c r="G44" i="1" s="1"/>
  <c r="G90" i="1" s="1"/>
  <c r="F28" i="1"/>
  <c r="F44" i="1" s="1"/>
  <c r="F90" i="1" s="1"/>
  <c r="I13" i="6"/>
  <c r="J13" i="6" s="1"/>
  <c r="I230" i="8"/>
  <c r="J21" i="2"/>
  <c r="I23" i="8"/>
  <c r="I18" i="3"/>
  <c r="I316" i="2"/>
  <c r="I46" i="2"/>
  <c r="J14" i="1" l="1"/>
  <c r="J11" i="1"/>
  <c r="C53" i="1"/>
  <c r="C83" i="1"/>
  <c r="J316" i="2"/>
  <c r="D84" i="1"/>
  <c r="D90" i="1"/>
  <c r="J230" i="8"/>
  <c r="J11" i="9"/>
  <c r="F87" i="1"/>
  <c r="D87" i="1"/>
  <c r="M53" i="1"/>
  <c r="N53" i="1" s="1"/>
  <c r="C82" i="1"/>
  <c r="I79" i="1"/>
  <c r="I78" i="1"/>
  <c r="L28" i="1"/>
  <c r="L44" i="1" s="1"/>
  <c r="M27" i="1"/>
  <c r="C37" i="1"/>
  <c r="C28" i="1" s="1"/>
  <c r="C44" i="1" s="1"/>
  <c r="C90" i="1" s="1"/>
  <c r="R81" i="1"/>
  <c r="L11" i="1"/>
  <c r="H29" i="1"/>
  <c r="I29" i="1" s="1"/>
  <c r="H14" i="1"/>
  <c r="H43" i="1" s="1"/>
  <c r="M13" i="1"/>
  <c r="K53" i="1"/>
  <c r="J432" i="2"/>
  <c r="H68" i="1"/>
  <c r="I68" i="1" s="1"/>
  <c r="L11" i="2"/>
  <c r="C14" i="1"/>
  <c r="C43" i="1" s="1"/>
  <c r="J12" i="3"/>
  <c r="C11" i="1"/>
  <c r="J46" i="2"/>
  <c r="J38" i="2"/>
  <c r="J238" i="8"/>
  <c r="O238" i="8"/>
  <c r="O12" i="8"/>
  <c r="L82" i="1"/>
  <c r="K13" i="1"/>
  <c r="J83" i="1"/>
  <c r="K82" i="1"/>
  <c r="E81" i="1"/>
  <c r="G81" i="1"/>
  <c r="J429" i="2"/>
  <c r="H12" i="1"/>
  <c r="H88" i="1" s="1"/>
  <c r="J23" i="8"/>
  <c r="O23" i="8"/>
  <c r="J9" i="8"/>
  <c r="J18" i="3"/>
  <c r="J26" i="2"/>
  <c r="J15" i="2"/>
  <c r="I41" i="1"/>
  <c r="I16" i="1"/>
  <c r="I27" i="1"/>
  <c r="H56" i="1"/>
  <c r="I56" i="1" s="1"/>
  <c r="I57" i="1"/>
  <c r="J12" i="8"/>
  <c r="J109" i="6"/>
  <c r="J110" i="6"/>
  <c r="J107" i="6"/>
  <c r="D43" i="1"/>
  <c r="H13" i="1"/>
  <c r="H89" i="1" s="1"/>
  <c r="J28" i="1"/>
  <c r="I10" i="6"/>
  <c r="F84" i="1"/>
  <c r="D14" i="2"/>
  <c r="H87" i="1" l="1"/>
  <c r="I14" i="1"/>
  <c r="J9" i="3"/>
  <c r="C87" i="1"/>
  <c r="K88" i="1"/>
  <c r="L88" i="1"/>
  <c r="H82" i="1"/>
  <c r="I82" i="1" s="1"/>
  <c r="I43" i="1"/>
  <c r="J87" i="1"/>
  <c r="K87" i="1" s="1"/>
  <c r="C84" i="1"/>
  <c r="L89" i="1"/>
  <c r="C81" i="1"/>
  <c r="J11" i="2"/>
  <c r="J10" i="6"/>
  <c r="K11" i="1"/>
  <c r="M11" i="1"/>
  <c r="N11" i="1" s="1"/>
  <c r="I22" i="1"/>
  <c r="I37" i="1"/>
  <c r="P81" i="1"/>
  <c r="K83" i="1"/>
  <c r="I13" i="1"/>
  <c r="H83" i="1"/>
  <c r="D81" i="1"/>
  <c r="G84" i="1"/>
  <c r="L84" i="1"/>
  <c r="J14" i="2"/>
  <c r="H28" i="1"/>
  <c r="I15" i="1"/>
  <c r="H53" i="1"/>
  <c r="I55" i="1"/>
  <c r="I12" i="1"/>
  <c r="H11" i="1"/>
  <c r="J44" i="1"/>
  <c r="J90" i="1" s="1"/>
  <c r="K28" i="1"/>
  <c r="J43" i="1"/>
  <c r="K14" i="1"/>
  <c r="L43" i="1"/>
  <c r="H44" i="1" l="1"/>
  <c r="H90" i="1" s="1"/>
  <c r="I11" i="1"/>
  <c r="Q81" i="1"/>
  <c r="L87" i="1"/>
  <c r="I53" i="1"/>
  <c r="I88" i="1"/>
  <c r="I87" i="1"/>
  <c r="K89" i="1"/>
  <c r="I83" i="1"/>
  <c r="K43" i="1"/>
  <c r="M43" i="1"/>
  <c r="N43" i="1" s="1"/>
  <c r="K44" i="1"/>
  <c r="M44" i="1"/>
  <c r="N44" i="1" s="1"/>
  <c r="L81" i="1"/>
  <c r="I44" i="1"/>
  <c r="I28" i="1"/>
  <c r="J84" i="1"/>
  <c r="J81" i="1"/>
  <c r="L90" i="1" l="1"/>
  <c r="I89" i="1"/>
  <c r="M84" i="1"/>
  <c r="N84" i="1" s="1"/>
  <c r="O83" i="1"/>
  <c r="M81" i="1"/>
  <c r="N81" i="1" s="1"/>
  <c r="H81" i="1"/>
  <c r="K84" i="1"/>
  <c r="K81" i="1"/>
  <c r="H84" i="1"/>
  <c r="I90" i="1" l="1"/>
  <c r="K90" i="1"/>
  <c r="I84" i="1"/>
  <c r="I81" i="1"/>
  <c r="I449" i="2"/>
  <c r="J449" i="2" s="1"/>
</calcChain>
</file>

<file path=xl/comments1.xml><?xml version="1.0" encoding="utf-8"?>
<comments xmlns="http://schemas.openxmlformats.org/spreadsheetml/2006/main">
  <authors>
    <author>WStachera</author>
  </authors>
  <commentLis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</commentList>
</comments>
</file>

<file path=xl/comments2.xml><?xml version="1.0" encoding="utf-8"?>
<comments xmlns="http://schemas.openxmlformats.org/spreadsheetml/2006/main">
  <authors>
    <author>WStachera</author>
  </authors>
  <commentLis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133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</commentList>
</comments>
</file>

<file path=xl/comments3.xml><?xml version="1.0" encoding="utf-8"?>
<comments xmlns="http://schemas.openxmlformats.org/spreadsheetml/2006/main">
  <authors>
    <author>WStachera</author>
  </authors>
  <commentList>
    <comment ref="E19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E20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<sst xmlns="http://schemas.openxmlformats.org/spreadsheetml/2006/main" count="2361" uniqueCount="388">
  <si>
    <t>Planowana wartość kosztorysowa zadania / planowane dochody uzyskane na realizację zadania</t>
  </si>
  <si>
    <t>Wyszczególnienie</t>
  </si>
  <si>
    <t>Wydatki ogółem, z tego:</t>
  </si>
  <si>
    <t>środki z budżetu krajowego, z tego:</t>
  </si>
  <si>
    <t>środki z budżetu województwa</t>
  </si>
  <si>
    <t>dotacja z budżetu województwa dla jos</t>
  </si>
  <si>
    <t>środki własne jos (poza budżetem)</t>
  </si>
  <si>
    <t>dotacje celowe z budżetu państwa</t>
  </si>
  <si>
    <t xml:space="preserve">dotacje z budżetu państwa na zadania zlecone </t>
  </si>
  <si>
    <t>dotacje celowe od innych jst</t>
  </si>
  <si>
    <t>środki z funduszy</t>
  </si>
  <si>
    <t>dotacje z budżetu państwa - kontrakt wojewódzki</t>
  </si>
  <si>
    <t>środki z budżetu UE, z tego:</t>
  </si>
  <si>
    <t>środki z Unii Europejskiej</t>
  </si>
  <si>
    <t>dotacje celowe / płatności z UE</t>
  </si>
  <si>
    <t>dotacje celowe / płatności z UE (poza budżetem)</t>
  </si>
  <si>
    <t>Dochody ogółem, z tego:</t>
  </si>
  <si>
    <t xml:space="preserve">środki z budżetu krajowego, z tego: </t>
  </si>
  <si>
    <t>Wydatki z budżetu województwa  - razem</t>
  </si>
  <si>
    <t>Dochody budżetu województwa  - razem</t>
  </si>
  <si>
    <t>środki na wkład własny krajowy</t>
  </si>
  <si>
    <t>Dochody budżetu województwa - razem</t>
  </si>
  <si>
    <t>Dochody budżetu województwa ogółem</t>
  </si>
  <si>
    <t>Koncepcja obejścia m Gryfice w ciągu drogi woj. Nr 105 (zachodnie obejscie Gryfic  
w powiązaniu  z drogą  nr 110, drogami gminnymi i powiatowymi)</t>
  </si>
  <si>
    <t>Lp</t>
  </si>
  <si>
    <t>Nazwa zadania 
(Lokalizacja)</t>
  </si>
  <si>
    <t>Klasyfikacja budżetowa</t>
  </si>
  <si>
    <t xml:space="preserve">Jednostka organizacyjna odpowiedzialna
za realizację </t>
  </si>
  <si>
    <t xml:space="preserve">dotacje celowe z budżetu państwa </t>
  </si>
  <si>
    <t xml:space="preserve">środki z funduszy </t>
  </si>
  <si>
    <t>I</t>
  </si>
  <si>
    <t>PROJEKTY  REALIZOWANE  W  RAMACH  RPO  WZ</t>
  </si>
  <si>
    <t>1.</t>
  </si>
  <si>
    <t>rozdz. 60001</t>
  </si>
  <si>
    <t>rozdz. 75861</t>
  </si>
  <si>
    <t>2.</t>
  </si>
  <si>
    <t>KONTRAKT</t>
  </si>
  <si>
    <t>ZZDW / WIiT
w ramach RPO</t>
  </si>
  <si>
    <t>rozdz. 60013</t>
  </si>
  <si>
    <t>WZRPO / WIiT</t>
  </si>
  <si>
    <t>3.</t>
  </si>
  <si>
    <t>4.</t>
  </si>
  <si>
    <t xml:space="preserve">                </t>
  </si>
  <si>
    <t>5.</t>
  </si>
  <si>
    <t>6.</t>
  </si>
  <si>
    <t>7.</t>
  </si>
  <si>
    <t>8.</t>
  </si>
  <si>
    <t>Przebudowa drogi woj. nr 203 na odcinku Iwięcino - Darłowo w ramach Osi II RPO (2007-2014)</t>
  </si>
  <si>
    <t>9.</t>
  </si>
  <si>
    <t>rodz. 75861</t>
  </si>
  <si>
    <t>10.</t>
  </si>
  <si>
    <t>rodz. 75861 / 60013</t>
  </si>
  <si>
    <t>11.</t>
  </si>
  <si>
    <t>12.</t>
  </si>
  <si>
    <t>13.</t>
  </si>
  <si>
    <t>14.</t>
  </si>
  <si>
    <t>dotacja celowa od innych jst</t>
  </si>
  <si>
    <t>16.</t>
  </si>
  <si>
    <t>17.</t>
  </si>
  <si>
    <t>Budowa obejścia m. Darłowo w ciągu drogi nr 203 w ramach Osi II RPO (2011-2013)</t>
  </si>
  <si>
    <t>18.</t>
  </si>
  <si>
    <t>19.</t>
  </si>
  <si>
    <t>Przebudowa drogi woj. nr 114 na odcinku Trzebież - Police w ramach Osi II RPO (2008-2013)</t>
  </si>
  <si>
    <t>20.</t>
  </si>
  <si>
    <t>Przebudowa drogi woj. nr 163 na odcinku Czaplinek - Wałcz w ramach Osi II RPO (2007-2013)</t>
  </si>
  <si>
    <t>21.</t>
  </si>
  <si>
    <t>22.</t>
  </si>
  <si>
    <t>23.</t>
  </si>
  <si>
    <t>24.</t>
  </si>
  <si>
    <t>25.</t>
  </si>
  <si>
    <t>26.</t>
  </si>
  <si>
    <t>29.</t>
  </si>
  <si>
    <t>Modernizacja kolejowego taboru pasażerskiego o napędzie elektrycznym w ramach Osi II RPO (2013-2014)</t>
  </si>
  <si>
    <t>II</t>
  </si>
  <si>
    <t>PROJEKTY  REALIZOWANE  W  RAMACH  IW  INTERREG IV A</t>
  </si>
  <si>
    <t>środki z budżetu UE, w tego:</t>
  </si>
  <si>
    <t>Przebudowa i rozbudowa przejścia drogowego przez m. Pilchowo na drodze woj. nr 115  (2010)</t>
  </si>
  <si>
    <t>ZZDW / w ramach INTERREG IV A</t>
  </si>
  <si>
    <t>x</t>
  </si>
  <si>
    <t>fundusze pomocowe (refundacja)</t>
  </si>
  <si>
    <t>Przebudowa i rozbudowa przejścia drogowego przez m. Gryfino na drodze woj. Nr 120 w ramach IW INTERREG IV A (2011-2012)</t>
  </si>
  <si>
    <t>Zadanie zostało przeniesione do części III POZOSTAŁE PROJEKTY INWESTYCYJNE (poz.44.)</t>
  </si>
  <si>
    <t>III</t>
  </si>
  <si>
    <t>PROJEKTY  REALIZOWANE  W  RAMACH PROGRAMU  OPERACYJNEGO INFRASTRUKTURA I ŚRODOWISKO</t>
  </si>
  <si>
    <t>WIiT 
w ramach
 POiŚ</t>
  </si>
  <si>
    <t>środki z funduszy celowych</t>
  </si>
  <si>
    <t xml:space="preserve">dotacje celowe z budzetu państwa </t>
  </si>
  <si>
    <t>Zakup elektrycznych zespołów trakcyjnych w ramach PO Infrastruktura i Środowisko (2013-2015)</t>
  </si>
  <si>
    <t>WIiT</t>
  </si>
  <si>
    <t>środki z funduszy celowych - Fundusz Kolejowy</t>
  </si>
  <si>
    <t>rozdz. 
60001</t>
  </si>
  <si>
    <t>IV</t>
  </si>
  <si>
    <t>34.</t>
  </si>
  <si>
    <t>WIT</t>
  </si>
  <si>
    <t>Zakup taboru kolejowego do przewozów regionalnych (2012-2013)</t>
  </si>
  <si>
    <t>ZZDW w Koszalinie</t>
  </si>
  <si>
    <t>rozdz. 60095</t>
  </si>
  <si>
    <t>Przebudowa dróg wojewódzkich (2011-2012)</t>
  </si>
  <si>
    <t>Wypłata odszkodowań pod planowane inwestycje drogowe (2012-2013)</t>
  </si>
  <si>
    <t>Poprawienie zewnętrznej i wewnętrznej dostępności obszaru Europy Środkowej w ramach działania 2.1  Programu dla Europy Środkowej  - EWT (2008-2012)</t>
  </si>
  <si>
    <t>rodz. 60095</t>
  </si>
  <si>
    <t>Doradca zawodowy i pośrednik pracy w standardach unijnych w ramach działania 6.1. PO KL (2008-2012)</t>
  </si>
  <si>
    <t xml:space="preserve">Zadanie o nakładach zrealizowanych do końca 2010 r. w kwocie 7.147.888 zł zostało wyjęte z WPF a w jego miesce wprowadzono nowe zadanie pn."Pramida kompetencji" </t>
  </si>
  <si>
    <t>Wojewódzki Urząd Pracy w Szczecinie</t>
  </si>
  <si>
    <t>rozdz. 85395</t>
  </si>
  <si>
    <t>rozdz. 75862</t>
  </si>
  <si>
    <t>Regionalny Ośrodek Polityki Społecznej</t>
  </si>
  <si>
    <t>rodz. 
75862</t>
  </si>
  <si>
    <t>rozdz. 
85395</t>
  </si>
  <si>
    <t>rozdz. 
75862</t>
  </si>
  <si>
    <t>rozdz. 75071</t>
  </si>
  <si>
    <t>rodz.
 75071</t>
  </si>
  <si>
    <t>rodz.
 75862</t>
  </si>
  <si>
    <t>rozdz. 15013</t>
  </si>
  <si>
    <t>Inwestycja w wiedzę motorem rozwoju innowacyjności w regionie w ramach działania 8.2 PO KL (2008-2013)</t>
  </si>
  <si>
    <t>Zachodniopomorskie talenty - regionalny system stypendialny w ramach działania 9.1 PO KL (2009-2013)</t>
  </si>
  <si>
    <t>rozdz.
75862</t>
  </si>
  <si>
    <t>rozdz. 85332</t>
  </si>
  <si>
    <t>rodz. 
85332</t>
  </si>
  <si>
    <t>Centrum Obsługi Inwestorów i Eksporterów</t>
  </si>
  <si>
    <t>rozdz. 15011</t>
  </si>
  <si>
    <t>rodz. 
15011</t>
  </si>
  <si>
    <t>dotacje celowe od innych jst (pomoc finansowa i porozumienia)</t>
  </si>
  <si>
    <t>Centrum Zabiegowe z zapleczem łóżkowym w Szpitalu Wojewódzkim w Szczecinie w ramach osi VII RPO (2008-2013)</t>
  </si>
  <si>
    <t xml:space="preserve">Wojewódzki Szpital Zespolony w Szczecinie 
</t>
  </si>
  <si>
    <t>rozdz. 85111</t>
  </si>
  <si>
    <t>środki własne jos</t>
  </si>
  <si>
    <t>X</t>
  </si>
  <si>
    <t xml:space="preserve">Specjalistyczny Szpital im. A. Sokołowskiego 
w Szczecinie - Zdunowo 
</t>
  </si>
  <si>
    <t>dotacja z budżetu wojewodztwa dla jos</t>
  </si>
  <si>
    <t xml:space="preserve">SPS ZOZ ZDROJE Szczecin 
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</si>
  <si>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</si>
  <si>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</si>
  <si>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80130
85410</t>
  </si>
  <si>
    <t>Klasyfikacja budże towa</t>
  </si>
  <si>
    <t>rozdz. 75018</t>
  </si>
  <si>
    <t>Konsolidacja Urzędu Marszałkowskiego Województwa Zachodniopomorskiego w jednej siedzibie I etap (2011 - 2012)</t>
  </si>
  <si>
    <t>Wydział Administracyjny</t>
  </si>
  <si>
    <t>Adaptacja poddasza na potrzeby biurowe w budynku położonym w Szczecinie przy ul.Szafera 10 (2010-2012)</t>
  </si>
  <si>
    <t>Wydział Inwestycji i Nieruchomości</t>
  </si>
  <si>
    <t>rozdz. 70005</t>
  </si>
  <si>
    <t>e-Administracja i e-Turystyka w województwie zachodniopomorskim (2011-2013) w ramach działania 3.2 Osi III RPO WZ</t>
  </si>
  <si>
    <t>Wydział Społeczeństwa Informacyjnego i Informatyki</t>
  </si>
  <si>
    <t>rozdz. 60052</t>
  </si>
  <si>
    <t>Adaptacja II piętra w budynku położonym w Szczecinie przy ul. Sokołowskiego na lokale mieszkalne (2011-2012)</t>
  </si>
  <si>
    <t>Główny Punkt Informacyjny Funduszy Europejskich (GPI) przy ul.Kuśnierskiej 12b w ramach PO Pomoc Techniczna  (2009-2015)</t>
  </si>
  <si>
    <t>Kompleksowy program wspierania kluczowych obszarów funkcjonowania i kompetencji kadr Urzędu Marszałkowskiego Województwa Zachodniopomorskiego w ramach działania 5.2.PO KL   (2010-2012)</t>
  </si>
  <si>
    <t>Wydział Organizacji i Rozwoju Zasobów Ludzkich</t>
  </si>
  <si>
    <t xml:space="preserve">Projekty w ramach Pomocy technicznej - Oś VIII RPO WZ (2007-2015) </t>
  </si>
  <si>
    <t xml:space="preserve">dotacje z budżetu województwa dla jos </t>
  </si>
  <si>
    <t>środki budżetu województwa (np. zwrot podatku VAT)</t>
  </si>
  <si>
    <t>Muzeum Narodowe 
w Szczecinie - nadzór WKNiDN</t>
  </si>
  <si>
    <t>rozdz. 92118</t>
  </si>
  <si>
    <t>Budowa pawilonu wystawowego służącego celom Centrum Dialogu Przełomy w ramach RPO WZ, Osi VI: Rozwój funkcji Metropolitarnych (2009-2014)</t>
  </si>
  <si>
    <t>Muzeum Narodowe
 w Szczecinie - nadzór WKNiDN</t>
  </si>
  <si>
    <t>Opera na Zamku 
w Szczecinie - nadzór WKNiDN</t>
  </si>
  <si>
    <t>rozdz. 92106</t>
  </si>
  <si>
    <t>Teatr Polski w Szczecinie - nadzór WKNiDN</t>
  </si>
  <si>
    <t>Modernizacja skrzydła północnego Zamku Książąt Pomorskich w Szczecinie w ramach RPO WZ, Osi VI: Rozwój funkcji Metropolitarnych (2012 - 2014)</t>
  </si>
  <si>
    <t>Zamek Książąt Pomorskich 
 w Szczecinie - nadzór WKNiDN</t>
  </si>
  <si>
    <t>rozdz. 92109</t>
  </si>
  <si>
    <t xml:space="preserve">I PRZEDSIĘWZIĘCIA  FINANSOWANE PRZY WSPÓŁUDZIALE ŚRODKÓW, O KTÓRYCH MOWA W ART. 5 UST. 1 PKT. 2 I 3 UFP W ZAKRESIE ROLNICTWA I OCHRONY ŚRODOWISKA </t>
  </si>
  <si>
    <t>WYDATKI Z BUDŻETU OGÓŁEM, z tego:</t>
  </si>
  <si>
    <t xml:space="preserve"> - wydatki bieżące</t>
  </si>
  <si>
    <t xml:space="preserve"> - wydatki majątkowe</t>
  </si>
  <si>
    <t xml:space="preserve">środki na wkład własny krajowy </t>
  </si>
  <si>
    <t>MAJĄTKOWE</t>
  </si>
  <si>
    <t xml:space="preserve">Zachodniopomorski Zarząd Melioracji i Urządzeń Wodnych pod nadzorem Wydziału Rolnictwa i Rybactwa
</t>
  </si>
  <si>
    <t>rozdz. 01008</t>
  </si>
  <si>
    <t>Zachodniopomorski Zarząd Melioracji i Urządzeń Wodnych pod nadzorem Wydziału Rolnictwa i Rybactwa</t>
  </si>
  <si>
    <t>rozdz. 05011</t>
  </si>
  <si>
    <t>BIEŻĄCE</t>
  </si>
  <si>
    <t xml:space="preserve">Wydział Rolnictwa i Rybactwa
</t>
  </si>
  <si>
    <t>Budowa niebieskiego korytarza ekologicznego wzdłuż doliny rzeki Iny i jej dopływów w ramach Instrumentu Finansowego LIFE+ (2011-2016)</t>
  </si>
  <si>
    <t>Ochrona  gruntów rolnych - zadanie  polegające na dofinansowywaniu, w formie dotacji celowych, gminom i powiatom budowy i modernizacji dróg dojazdowych do gruntów leśnych oraz zakupu sprzętu informatycznego (2011-2016)</t>
  </si>
  <si>
    <t>Wydział Rolnictwa i Rybactwa</t>
  </si>
  <si>
    <t>rozdz. 01095</t>
  </si>
  <si>
    <t>Likwidacja mogilników zawierających przeterminowane środki ochrony roślin znajdujących się na terenie województwa zachodniopomorskiego (2010 r.)</t>
  </si>
  <si>
    <t xml:space="preserve">WRiOŚ </t>
  </si>
  <si>
    <t>rozdz. 90002</t>
  </si>
  <si>
    <t xml:space="preserve">Przepławki dla ryb  (2010-2014) w ramach Programu Operacyjnego "Zrównoważony rozwój sektora rybołówstwa i nadbrzeżnych obszarów rybackich", Środka - Ochrona i rozwój fauny i flory wodnej, Osi priorytetowej 3 - Środki służące wspólnemu interesowi </t>
  </si>
  <si>
    <t xml:space="preserve">Zachodniopomorski Zarząd Melioracji i Urządzeń Wodnych pod nadzorem Wydziału Rolnictwa i Ochrony Środowiska 
</t>
  </si>
  <si>
    <t>Poprawianie i rozwijanie infrastruktury związanej rozwojem i dostosowaniem rolnictwa i leśnictwa (2009-2014), w ramach PROW, Osi 1, Działania 125</t>
  </si>
  <si>
    <t>ZZMiUW / WRiOŚ 
w ramach PROW</t>
  </si>
  <si>
    <t xml:space="preserve">Wydział  Programów Rozwoju Obszarów Wiejskich 
</t>
  </si>
  <si>
    <t>rozdz. 01041</t>
  </si>
  <si>
    <t>Higiena i bezpieczeństwo żywności w regionie Morza Bałtyckiego - Focus on Food w ramach Współpracy Transgranicznej Południowy Bałtyk - EWT (2011-2013)</t>
  </si>
  <si>
    <t>rozdz.
75095</t>
  </si>
  <si>
    <t>rozdz. 75095</t>
  </si>
  <si>
    <t xml:space="preserve">II. POZOSTAŁE PRZEDSIĘWZIĘCIA W ZAKRESIE ROLNICTWA I OCHRONY ŚRODOWISKA </t>
  </si>
  <si>
    <t>Zbiornik retencyjny na rzece Dzierżęcince (2012-2013)</t>
  </si>
  <si>
    <t>I PRZEDSIĘWZIĘCIA  FINANSOWANE PRZY WSPÓŁUDZIALE ŚRODKÓW, O KTÓRYCH MOWA W ART. 5 UST. 1 PKT. 2 I 3 UFP  W ZAKRESIE KULTURY FIZYCZNEJ I TURYSTYKI</t>
  </si>
  <si>
    <t>"Rewitalizacja europejskiego szlaku kulturowego na obszarze Południowego Bałtyku - Pomorski Szlak św. Jakuba" w ramach Programu Współpracy Transgranicznej Południowy Bałtyk - EWT (2011-2013)</t>
  </si>
  <si>
    <t>Wydział Turystyki Gospodarki i Promocji</t>
  </si>
  <si>
    <t>rozdz.        63003</t>
  </si>
  <si>
    <t>rozdz. 
63003</t>
  </si>
  <si>
    <t>"MARRIAGE - Lepsze zarządzanie mariną, konsolidacja sieci przystani i marketingu turystyki wodnej w obszarze Południowego Bałtyku" w ramach Programu Współpracy Transgranicznej Południowy Bałtyk - EWT (2012-2014)</t>
  </si>
  <si>
    <t>"Zachodniopomorskie - Morze Przygody. Promocja turystyczna Województwa Zachodniopomorskiego" w ramach RPO WZ, Osi 5 (2012-2014)</t>
  </si>
  <si>
    <t>rozdz. 
75861</t>
  </si>
  <si>
    <t>"Zachodniopomorskie - Morze Przygody. Promocja turystyczna Województwa Zachodniopomorskiego i Szczecińskiego Obszaru Metropolitarnego" w ramach RPO WZ, Osi 6 (2012-2014)</t>
  </si>
  <si>
    <t>"Zachodniopomorskie - Morze Przygody. Promocja turystyczna Województwa Zachodniopomorskiego i Szczecińskiego Obszaru Metropolitarnego" w ramach RPO WZ, Osi 6 - zakupy inwestycyjne (2012-2014)</t>
  </si>
  <si>
    <t>rozdz.        71003</t>
  </si>
  <si>
    <t>rozdz. 
71003</t>
  </si>
  <si>
    <t xml:space="preserve">POZOSTAŁE PRZEDSIĘWZIĘCIA W ZAKRESIE KULTURY I OCHRONY DZIEDZICTWA NARODOWEGO </t>
  </si>
  <si>
    <t xml:space="preserve">MAJĄTKOWE </t>
  </si>
  <si>
    <t xml:space="preserve">I. PRZEDSIĘWZIĘCIA  FINANSOWANE PRZY WSPÓŁUDZIALE ŚRODKÓW, O KTÓRYCH MOWA W ART. 5 UST. 1 PKT. 2 I 3 UFP  W ZAKRESIE ADMINISTRACJI I  TELEKOMUNIKACJI </t>
  </si>
  <si>
    <t>Główny Punkt Informacyjny Funduszy Europejskich (GPI) przy ul.Kuśnierskiej 12b w ramach PO Pomoc Techniczna - zakupy inwestycyjne (2009-2015)</t>
  </si>
  <si>
    <t>Kompleksowy program wspierania kluczowych obszarów funkcjonowania i kompetencji kadr Urzędu Marszałkowskiego Województwa Zachodniopomorskiego w ramach działania 5.2.PO KL - zakupy inwestycyjne(2010-2012)</t>
  </si>
  <si>
    <t>I. PRZEDSIĘWZIĘCIA  FINANSOWANE PRZY WSPÓŁUDZIALE ŚRODKÓW, O KTÓRYCH MOWA W ART. 5 UST. 1 PKT. 2 I 3 UFP  W ZAKRESIE OŚWIATY I EDUKACYJNEJ OPIEKI WYCHOWAWCZEJ</t>
  </si>
  <si>
    <t>II. PRZEDSIĘWZIĘCIA POZOSTAŁE W ZAKRESIE OŚWIATY I EDUKACYJNEJ OPIEKI WYCHOWAWCZEJ</t>
  </si>
  <si>
    <t xml:space="preserve">
Sekretariat ds.Młodzieży Województwa Zachodnio - pomorskiego </t>
  </si>
  <si>
    <t>Projekt pn. "Akademia Zmienia Szczecin - Modernizacja Pałacu pod Globusem" w ramach RPO WZ, Osi VI: Rozwój Funkcji Metropolitarnych (2012-2014)</t>
  </si>
  <si>
    <t>dotacja z budżetu państwa (poza budżetem)</t>
  </si>
  <si>
    <t>rozdz. 80395</t>
  </si>
  <si>
    <t>Akademia Sztuki             w Szczecinie pod nadzorem Wydziału Edukacji  i Sportu</t>
  </si>
  <si>
    <t>dotacja z budżetu województwa</t>
  </si>
  <si>
    <t>środki z budżetu województwa (zwrot podatku VAT)</t>
  </si>
  <si>
    <t xml:space="preserve">POZOSTAŁE PRZEDSIĘWZIĘCIA W ZAKRESIE OCHRONY ZDROWIA </t>
  </si>
  <si>
    <t>Wydział Zdrowia</t>
  </si>
  <si>
    <t>I. PRZEDSIĘWZIĘCIA  FINANSOWANE PRZY WSPÓŁUDZIALE ŚRODKÓW, O KTÓRYCH MOWA W ART. 5 UST. 1 PKT. 2 I 3 UFP  W ZAKRESIE POLITYKI  SPOŁECZNEJ  I  ROZWOJU  PRZEDSIĘBIORCZOŚCI</t>
  </si>
  <si>
    <t>Piramida kompetencji w ramach działania 6.1. PO KL (2008-2013)</t>
  </si>
  <si>
    <t>Piramida kompetencji - II edycja w ramach działania 6.1. PO KL (2013-2014)</t>
  </si>
  <si>
    <t>Priorytet: X. Pomoc Techniczna w ramach  PO KL - zakupy inwestycyjne (2007-2013)</t>
  </si>
  <si>
    <t>I. PRZEDSIĘWZIĘCIA  FINANSOWANE PRZY WSPÓŁUDZIALE ŚRODKÓW, O KTÓRYCH MOWA W ART. 5 UST. 1 PKT. 2 I 3 UFP  W ZAKRESIE TRANSPORTU I ŁĄCZNOŚCI</t>
  </si>
  <si>
    <t>PROJEKTY REALIZOWANE W RAMACH PROGRAMU DLA EUROPY ŚRODKOWEJ</t>
  </si>
  <si>
    <t>II. POZOSTAŁE  PRZEDSIĘWZIĘCIA W ZAKRESIE TRANSPORTU I ŁĄCZNOŚCI</t>
  </si>
  <si>
    <t>Pozostałe zadania z zakresu transportu - ubezpieczenie taboru kolejowego Województwa (2011-2016)</t>
  </si>
  <si>
    <t>Dofinansowanie kolejowych przewozów pasażerskich (2013-2016)</t>
  </si>
  <si>
    <t>Opracowanie planu transportowego Województwa Zachodniopomorskiego (2013-2014)</t>
  </si>
  <si>
    <t>Zimowe utrzymanie dróg (2011-2016)</t>
  </si>
  <si>
    <t>Obsługa i utrzymanie mostów zwodzonych i mostu granicznego (2011-2016)</t>
  </si>
  <si>
    <t>dotacja z budżetu województwa (m.in. dla jos)</t>
  </si>
  <si>
    <t>dotacje celowe z budżetu państwa (poza budżetem)</t>
  </si>
  <si>
    <t>środki  budżetu województwa (zwrot podatku VAT)</t>
  </si>
  <si>
    <t xml:space="preserve">Projekty w ramach Pomocy technicznej - Oś VIII RPO WZ - wydatki inwestycyjne  (2007-2015) </t>
  </si>
  <si>
    <t>Priorytet: X. Pomoc Techniczna w ramach  PO KL (2007-2015)</t>
  </si>
  <si>
    <t>Priorytet: X. Pomoc Techniczna - środki w ramach działania ROEFS w ramach PO KL (2008-2014)</t>
  </si>
  <si>
    <t>Przebudowa drogi woj. nr 124 na odcinku Cedynia - Chojna w ramach Osi II RPO (2008-2013)</t>
  </si>
  <si>
    <t>Przebudowa drogi woj. nr 205 na odcinku Krupy - Sławno w ramach Osi II RPO (2008-2013)</t>
  </si>
  <si>
    <t>Przebudowa drogi woj. nr 106 na odcinku Rzewnowo - Golczewo w ramach Osi II RPO (2008-2013)</t>
  </si>
  <si>
    <t>Przebudowa drogi woj. nr 203 na odcinku Koszalin - Iwięcino w ramach Osi II RPO (2007-2013)</t>
  </si>
  <si>
    <t>Przebudowa drogi woj. nr 107 na odcinku Dziwnówek - Kamień Pomorski w ramach Osi II RPO (2007-2013)</t>
  </si>
  <si>
    <t>Przebudowa drogi woj. nr 109 na odcinku Mrzeżyno - Trzebiatów w ramach Osi II RPO (2008-2013)</t>
  </si>
  <si>
    <t>Przebudowa drogi woj. nr 110 na odcinku Lędzin - Cerkwica w ramach Osi II RPO WZ (2008-2013)</t>
  </si>
  <si>
    <t>Przebudowa drogi woj. nr 156 na odcinku Mostkowo - Barlinek w ramach Osi II RPO WZ (2008-2013)</t>
  </si>
  <si>
    <t>Budowa obejścia m. Goleniów w ciągu drogi nr 113 w ramach Osi II RPO (2009-2013)</t>
  </si>
  <si>
    <t>Budowa obejścia m. Trzebiatów w ciągu drogi nr 102 w ramach Osi II RPO (2008-2013)</t>
  </si>
  <si>
    <t>Przebudowa przejścia przez m. Kołobrzeg w ciagu drogi nr 102 w ramach Osi II RPO (2008-2013)</t>
  </si>
  <si>
    <t>Budowa obejścia m. Szczecinek w ciągu drogi nr 172 w ramach Osi II RPO (2009-2013)</t>
  </si>
  <si>
    <t>Budowa obejścia m. Choszczno w ciągu drogi nr 151 w ramach Osi II RPO (2008-2013)</t>
  </si>
  <si>
    <t>Budowa obejścia m. Barlinek w ciągu drogi nr 151 w ramach Osi II RPO (2010-2013)</t>
  </si>
  <si>
    <t>Budowa obejścia m. Dobra w ciągu drogi nr 144 w ramach Osi II RPO (2011-2013)</t>
  </si>
  <si>
    <t>Przebudowa i rozbudowa mostu na Odrze Zachodniej na drodze woj. nr 120 w Gryfinie w ramach IW INTERREG IV A (2010-2012)</t>
  </si>
  <si>
    <t>Przebudowa i rozbudowa przejścia drogowego przez m. Krzywin na drodze woj. Nr 122 w ramach IW INTERREG IV A (2010-2013)</t>
  </si>
  <si>
    <t>Studium wykonalności Zachodniego Drogowego Obejścia Miasta Szczecina wraz z Raportem oddziaływania na środowisko (2009-2012)</t>
  </si>
  <si>
    <t>Objęcie nowych udziałów w Spółce Port Lotniczy Szczecin-Goleniów (2008-2020)</t>
  </si>
  <si>
    <t>Przebudowa i rozbudowa przejścia drogowego przez m. Tanowo na drodze woj. Nr 115  (2010-2013)</t>
  </si>
  <si>
    <t>w tym:</t>
  </si>
  <si>
    <t>środki z budżetu województwa *</t>
  </si>
  <si>
    <t xml:space="preserve">I. ZBIORCZE ZESTAWIENIE WYKONANYCH DOCHODÓW I WYDATKÓW PRZEDSIĘWZIĘĆ FINANSOWANYCH PRZY WSPÓŁUDZIALE ŚRODKÓW, O KTÓRYCH MOWA W ART. 5 UST. 1 PKT 2 I 3 UFP </t>
  </si>
  <si>
    <t xml:space="preserve">II. ZBIORCZE  ZESTAWIENIE WYKONANYCH DOCHODÓW I WYDATKÓW  W POZOSTAŁYCH  PRZEDSIĘWZIĘCIACH </t>
  </si>
  <si>
    <t>Rozbudowa przejścia drogowego przez m. Żarczyn na drodze woj. Nr 122 w ramach IW INTERREG IVA (2010-2013)</t>
  </si>
  <si>
    <t xml:space="preserve">II. PRZEDSIĘWZIĘCIA POZOSTAŁE W ZAKRESIE ADMINISTRACJI I  TELEKOMUNIKACJI </t>
  </si>
  <si>
    <t>Wskaźnik wykonania 
w %
 (kol. 9 : 5)</t>
  </si>
  <si>
    <t>Projekt pn."Lider Zachodniopomorski" 
w ramach Programu "Młodzież w działaniu", Akcja 5.1. - Spotkania młodzieży i osób odpowiedzialnych za politykę młodzieżową (2013 - 2014)</t>
  </si>
  <si>
    <t>rozdz.        80195</t>
  </si>
  <si>
    <t>rozdz. 
80195</t>
  </si>
  <si>
    <t>Prowadzenie Punktu Informacji Europejskiej Europe Direct - Szczecin (2013 - 2017)</t>
  </si>
  <si>
    <t>rozdz.
80195</t>
  </si>
  <si>
    <t>Wieloletnie umowy mające na celu zapewnienie ciągłości działania Urzędu Marszałkowskiego Województwa Zachodniopomorskiego (2012 - 2015)</t>
  </si>
  <si>
    <t>Przebudowa Opery na Zamku w Szczecinie w ramach RPO WZ. Osi V: Rozwój Funkcji Metropolitarnych (2009-2014)</t>
  </si>
  <si>
    <t>Razem jesteśmy silni - centralne muzea pomorskie wspólnie tworzą nowoczesne wystawy promujące historię i kulturę Pomorza, w ramach INTERREG IV A (2008 - 2013)</t>
  </si>
  <si>
    <t>Gospodarowanie nieruchomościami należącymi do zasobu Województwa Zachodniopomorskiego (2010-2013)</t>
  </si>
  <si>
    <t xml:space="preserve">Modernizacja budynku internatu przy pl. Orła Białego 2 w Szczecinie Akademii Sztuki w Szczecinie (2013-2014) </t>
  </si>
  <si>
    <t>Monitoring  i analizy porealizacyjne inwestycji (2013-2016)</t>
  </si>
  <si>
    <t>Przebudowa i rozbudowa przejścia drogowego przez m. Gryfino na drodze woj. Nr 120 (2011-2013)</t>
  </si>
  <si>
    <t>Przebudowa drogi woj. nr 167 na odcinku Koszalin - droga nr 168 w ramach Osi II RPO (2008-2014)</t>
  </si>
  <si>
    <t>Budowa obejścia w m. Gościno w ciągu drogi nr 162 w ramach Osi II RPO (2010-2013)</t>
  </si>
  <si>
    <t xml:space="preserve">WIiT
</t>
  </si>
  <si>
    <t>Zachodniopomorskie talenty - regionalny system stypendialny - IV edycja w ramach działania 9.1 PO KL (2013-2015)</t>
  </si>
  <si>
    <t>Wydział Współpracy Terytorialnej</t>
  </si>
  <si>
    <t>WWT</t>
  </si>
  <si>
    <t>Wydatki z budżetu województwa ogółem, z tego:</t>
  </si>
  <si>
    <t>Projekt pn. "Partnerstwo miejsko - wiejskie w obszarach metropolitalnych  - URMA" w ramach programu INTERREG IVC (2011-2015)</t>
  </si>
  <si>
    <t>Poręczenie kredytu dla Szpitala Specjalistycznego 
w Szczecinie Zdunowie (2014-2022)*</t>
  </si>
  <si>
    <t>Poręczenie kredytu dla Szpitala Wojewódzkiego 
w Koszalinie (2009-2017)</t>
  </si>
  <si>
    <t>Poręczenie kredytu dla Samodzielnego Publicznego Wojewódzkiego Zakładu Gruźlicy i Chorób Płuc w Szczecinie - następca prawny Szpital Specjalistyczny 
w Szczecinie Zdunowie (2006-2016)</t>
  </si>
  <si>
    <t>Profesjonalne kadry - lepsze jutro II w ramach działania 7.1 PO KL (2012-2015)</t>
  </si>
  <si>
    <t>Koordynacja na rzecz aktywnej integracji w ramach działania 1.2 PO KL (2009-2013)</t>
  </si>
  <si>
    <t>Rozbudowa części środkowej budynku głównego wraz z dostosowaniem oddziałów chirurgicznych do wymogów fachowo-sanitarnych  w Specjalistycznym Szpitalu im. A.Sokołowskiego w Szczecinie-Zdunowie w ramach osi VII RPO (2006-2013)</t>
  </si>
  <si>
    <t>Pomoc Techniczna Programu Operacyjnego „Zrównoważony rozwój sektora rybołówstwa i nadbrzeżnych obszarów rybackich - Oś 5 (2009-2015)</t>
  </si>
  <si>
    <t>Przepławki dla ryb  w ramach Programu Operacyjnego "Zrównoważony rozwój sektora rybołówstwa i nadbrzeżnych obszarów rybackich", Środka - Ochrona i rozwój fauny i flory wodnej, Osi priorytetowej 3 - Środki służące wspólnemu interesowi  (2010-2012)</t>
  </si>
  <si>
    <t>Zabezpieczenie przeciwpowodziowe doliny rzeki Regi ze szczególnym uwzględnieniem m. Trzebiatów, w ramach PO IiŚ, Priorytetu III, Działania 3.1. (2010-2013)</t>
  </si>
  <si>
    <t>Zabezpieczenie przeciwpowodziowe doliny rzeki Parsęty poniżej m. Osówko, w tym m. Kołobrzegu, Karlina i Białogardu , w ramach PO IiŚ, Priorytetu III, Działania 3.1. (2010-2013)</t>
  </si>
  <si>
    <t>Budowa niebieskiego korytarza ekologicznego wzdłuż doliny rzeki Regi i jej dopływów w ramach Instrumentu Finansowego LIFE+ (2012-2017)</t>
  </si>
  <si>
    <t>Pomoc Techniczna w ramach PROW, Schematu I, III i III (2007-2015)</t>
  </si>
  <si>
    <t>Sieć Centrów Obsługi Inwestorów i Eksporterów w ramach PO Innowacyjna Gospodarka, Priorytet VI, Działanie 6.2., Poddziałanie 6.2.1 (2010-2015)</t>
  </si>
  <si>
    <t>Wzrost atrakcyjności inwestycyjnej Województwa Zachodniopomorskiego - Promocja walorów inwestycyjnych Województwa Zachodniopomorskiego  - etap I i II  w ramach RPO WZ, Oś priorytetowa 1, Działanie 1.3, Poddziałanie 1,.3.3, schemat C (2012-2014)</t>
  </si>
  <si>
    <t>Misje eksportowe - etap I, II, III, IV i V w ramach RPO WZ, Oś priorytetowa 1, Działanie 1.3, Poddziałanie 1.3.2 (2012-2014)</t>
  </si>
  <si>
    <t>środki na dofinansowanie własnych inwestycji pozyskane z innych źródeł</t>
  </si>
  <si>
    <t>Wskaźnik wykonania 
w % 
(kol. 6 : 3)</t>
  </si>
  <si>
    <t>Wskaźnik wykonania 
w %
 (kol. 8 : 4)</t>
  </si>
  <si>
    <t>Odchylenie wykonania od planu rocznego (kol. 8 - kol. 4)</t>
  </si>
  <si>
    <t>Inwestycja w wiedzę motorem rozwoju innowacyjności w regionie w ramach działania 8.2 PO KL - III edycja (2013-2015)</t>
  </si>
  <si>
    <t>bieżące</t>
  </si>
  <si>
    <t>rozdz. 80146</t>
  </si>
  <si>
    <t>Centrum Edukacji Nauczycieli w Koszalinie - nadzór WEiS</t>
  </si>
  <si>
    <t xml:space="preserve">II. POZOSTAŁE  PRZEDSIĘWZIĘCIA  W ZAKRESIE KULTURY FIZYCZNEJ I TURYSTYKI </t>
  </si>
  <si>
    <t>Wspieranie realizacji zadań publicznych Województwa Zachodniopomorskiego w zakresie upowszechniania kultury fizycznej (2014-2016)</t>
  </si>
  <si>
    <t xml:space="preserve">bieżące </t>
  </si>
  <si>
    <t>rozdz. 92605      92695</t>
  </si>
  <si>
    <t>Projekt pn. "Zachodniopomorskie Regionalne Obserwatorium Terytorialne podstawą rozwoju regionu" w ramach działania 5.2 PO KL (2013-2015)</t>
  </si>
  <si>
    <t>rodz. 71095</t>
  </si>
  <si>
    <t>rodz. 75862</t>
  </si>
  <si>
    <t>Projekt pn. "Zachodniopomorskie  Regionalne Obserwatorium Terytorialne podstawą rozwoju regionu" w ramach działania 5.2 PO KL - wydatki inwestycyjne (2013-2015)</t>
  </si>
  <si>
    <t>majątkowe</t>
  </si>
  <si>
    <t>Wydział  Zarządzania Strategicznego</t>
  </si>
  <si>
    <t>15.</t>
  </si>
  <si>
    <t>Rozbudowa Muzeum Narodowego w Szczecinie - Muzeum Morskie (2011-2014)</t>
  </si>
  <si>
    <t>Architektoniczno - urbanistyczna koncepcja rozbudowy Teatru Polskiego w Szczecinie w ramach RPO WZ, Osi VI: Rozwój Funkcji Metropolitarnych (2011 - 2014)</t>
  </si>
  <si>
    <t>dotacje celowe/ płatności z UE (poza budżetem)</t>
  </si>
  <si>
    <t>Poprawa warunków przepływu wody w obrębie m. Darłowo wraz z zabezpieczeniem przeciwpowodziowym  m i gm. Darłowo (2013-2014)</t>
  </si>
  <si>
    <t>"Rewitalizacja europejskiego szlaku kulturowego na obszarze Południowego Bałtyku - Pomorski Szlak św. Jakuba" w ramach Programu Współpracy Transgranicznej Południowy Bałtyk - EWT -zakupy inwestycyjne (2011-2014)</t>
  </si>
  <si>
    <t>rozdz. 63003</t>
  </si>
  <si>
    <t>rodz. 63003</t>
  </si>
  <si>
    <t>Rozbudowa Szpitala Dziecięcego SPS ZOZ "Zdroje" 
w Szczecinie - utworzenie Zachodniopomorskiego Centrum Opieki Nad Kobietą i Dzieckiem (2010-2014)</t>
  </si>
  <si>
    <t>rozdz. 
15011</t>
  </si>
  <si>
    <t xml:space="preserve">Bałtyckie Centrum Badawczo - Wdrożeniowe Gospodarki Morskiej w ramach RPO WZ, Oś priorytetowa 1, 
Działanie 1.5 (2013-2014) </t>
  </si>
  <si>
    <t>rodz. 
75861</t>
  </si>
  <si>
    <t xml:space="preserve">Wydział Administracyjny,
Wydział Społeczeństwa Informacyjnego i Informatyki </t>
  </si>
  <si>
    <t>Pomoc Techniczna w ramach  Programu EWT INTERREG IV A (2008 - 2014)</t>
  </si>
  <si>
    <t>Wydział Zarządzania Strategicznego</t>
  </si>
  <si>
    <t>Wydział Zarządzania Strategicznego, Wydział Wdrażania RPO, Wydział Organizacji i Rozwoju Zasobów Ludzkich</t>
  </si>
  <si>
    <t>Wydział Zarządzania Strategicznego , Wydział Wdrażania RPO, Wydział Organizacji i Rozwoju Zasobów Ludzkich</t>
  </si>
  <si>
    <t>Odchylenie wykonania od planu za  2013 r. (kol. 8 - kol. 4)</t>
  </si>
  <si>
    <t>-</t>
  </si>
  <si>
    <t>dotacje z budżetu państwa</t>
  </si>
  <si>
    <t xml:space="preserve">środki z innych źródeł </t>
  </si>
  <si>
    <t xml:space="preserve">* </t>
  </si>
  <si>
    <r>
      <t xml:space="preserve">Kwota w wysokości </t>
    </r>
    <r>
      <rPr>
        <b/>
        <i/>
        <sz val="10"/>
        <rFont val="Arial"/>
        <family val="2"/>
        <charset val="238"/>
      </rPr>
      <t xml:space="preserve">1.023.120 zł </t>
    </r>
    <r>
      <rPr>
        <i/>
        <sz val="10"/>
        <rFont val="Arial"/>
        <family val="2"/>
        <charset val="238"/>
      </rPr>
      <t xml:space="preserve">wyszczególniona w </t>
    </r>
    <r>
      <rPr>
        <b/>
        <i/>
        <sz val="10"/>
        <rFont val="Arial"/>
        <family val="2"/>
        <charset val="238"/>
      </rPr>
      <t>poz. 26</t>
    </r>
    <r>
      <rPr>
        <i/>
        <sz val="10"/>
        <rFont val="Arial"/>
        <family val="2"/>
        <charset val="238"/>
      </rPr>
      <t xml:space="preserve"> stanowi dochody z tytułu naliczonej kary umownej za opóźnienia w dostawie trzech pociągów w ramach POIiŚ z przyczyn leżących po stronie Wykonawcy (NEWAG S.A.), która pomniejszyła płatności z UE (z Funduszu Spójności) przekazane przez Centrum Unijnych Projektów Transportowych (CUPT).</t>
    </r>
  </si>
  <si>
    <t>"Pomorze Zachodnie - wszystko czego potrzebujesz. Promocja turystyczna Województwa Zachodniopomorskiego" w ramach RPO WZ, Osi 6 (2013-2015)</t>
  </si>
  <si>
    <t>Znaczenie nowoczesnych technologii w motywowaniu dorosłych z terenów defaworyzowanych do uczenia się w ramach Programu LLP „Uczenie się przez całe życie” – GRUNDTVIG (2013-2015)</t>
  </si>
  <si>
    <t>Załącznik Nr 8F</t>
  </si>
  <si>
    <t>Odchylenie wykonania od planu 
za 2013 r. 
(kol. 7 - kol. 3)</t>
  </si>
  <si>
    <t>Wskaźnik wykonania 
w %
 (kol. 7 : 3)</t>
  </si>
  <si>
    <t>Wskaźnik wykonania 
w % 
(kol. 5 : 2)</t>
  </si>
  <si>
    <t xml:space="preserve"> Regionalny Ośrodek Polityki Społecznej</t>
  </si>
  <si>
    <t>Wydział Edukacji 
i Sportu</t>
  </si>
  <si>
    <t xml:space="preserve">WYKONANIE  W OKRESIE I KWARTAŁU 2014 ROKU DOCHODÓW I WYDATKÓW  PLANOWANYCH NA PRZEDSIĘWZIĘCIA  UJĘTE W WPF I  FINANSOWANE ZE ŚRODKÓW WŁASNYCH ORAZ PRZY WSPÓŁUDZIALE ŚRODKÓW, O KTÓRYCH MOWA W ART. 5 UST. 1 PKT. 2 I 3 UFP - WG ŹRÓDEŁ FINANSOWANIA </t>
  </si>
  <si>
    <t>Plan na
 2014 r. wg uchwały 
z dnia
 18.03.2014 r.</t>
  </si>
  <si>
    <t>Wykonanie od początku realizacji do 31.03.2014 r.</t>
  </si>
  <si>
    <t>WYKONANIE</t>
  </si>
  <si>
    <t>w tym
wykonanie w I kwartale 2014 r.</t>
  </si>
  <si>
    <t>Wykonanie 
na 31.03.2014 r.</t>
  </si>
  <si>
    <t>PLAN PO ZMIANACH WG STANU NA 
18 MARCA 2014 r.</t>
  </si>
  <si>
    <t>Prognozowane nakłady / dochody z tytułu realizacji projektów
w latach 2015-2018 i latach następnych</t>
  </si>
  <si>
    <t>PLAN PO ZMIANACH WG STANU NA 18 MARCA 2014 R.</t>
  </si>
  <si>
    <t>w tym wykonanie 
w I kwartale 2014 r.</t>
  </si>
  <si>
    <t>Odchylenie wykonania od planu za 2014 r. (kol. 8- kol. 4)</t>
  </si>
  <si>
    <t>Wykonanie 
na 
31.03.2014</t>
  </si>
  <si>
    <t>Wielkość nakładów poniesiona do końca 2012 r. / uzyskanych dochodów</t>
  </si>
  <si>
    <t>Zrealizowane nakłady / dochody 
w 2013 roku</t>
  </si>
  <si>
    <t>Pomoc Techniczna, w ramach PROW, Schematu I, III i III - zakupy inwestycyjne (2007-2015)</t>
  </si>
  <si>
    <t>Pomoc Techniczna PO „Zrównoważony rozwój sektora rybołówstwa i nadbrzeżnych obszarów rybackich - Oś 5 - zakupy inwestycyjne (2009-2015)</t>
  </si>
  <si>
    <t>Poprawianie i rozwijanie infrastruktury związanej rozwojem i dostosowaniem rolnictwa i leśnictwa, w ramach PROW, Osi 1, Działania 125 (2007-2015)</t>
  </si>
  <si>
    <t>Część I + II</t>
  </si>
  <si>
    <t>Dokumentacje techniczne na zadania drogowe w ramach Osi VIII RPO (2011-2016)</t>
  </si>
  <si>
    <t>Promocja taboru kolejowego zakupionego w ramach POIiŚ (2014-2015)</t>
  </si>
  <si>
    <t>27.</t>
  </si>
  <si>
    <t>Najlepszy w zawodzie w ramach działania 9.2 PO KL (2014-2015)</t>
  </si>
  <si>
    <t xml:space="preserve">Regionalne Biuro Gospodarki Przestrzennej Województwa Zachodniopomorskiego w Szczecinie pod nadzorem Wydziału Zarządzania Strategicznego </t>
  </si>
  <si>
    <t>6</t>
  </si>
  <si>
    <t>Załącznik Nr  3</t>
  </si>
  <si>
    <r>
      <t>środki z innych źródeł</t>
    </r>
    <r>
      <rPr>
        <sz val="12"/>
        <rFont val="Arial CE"/>
        <family val="2"/>
        <charset val="238"/>
      </rPr>
      <t xml:space="preserve"> </t>
    </r>
    <r>
      <rPr>
        <b/>
        <sz val="10"/>
        <rFont val="Arial CE"/>
        <family val="2"/>
        <charset val="238"/>
      </rPr>
      <t>*</t>
    </r>
  </si>
  <si>
    <r>
      <t xml:space="preserve">środki z budżetu krajowego, </t>
    </r>
    <r>
      <rPr>
        <i/>
        <sz val="10"/>
        <rFont val="Arial CE"/>
        <charset val="238"/>
      </rPr>
      <t>z tego</t>
    </r>
    <r>
      <rPr>
        <b/>
        <i/>
        <sz val="10"/>
        <rFont val="Arial CE"/>
        <family val="2"/>
        <charset val="238"/>
      </rPr>
      <t>:</t>
    </r>
  </si>
  <si>
    <r>
      <t xml:space="preserve">środki z budżetu krajowego, </t>
    </r>
    <r>
      <rPr>
        <i/>
        <sz val="10"/>
        <rFont val="Arial CE"/>
        <charset val="238"/>
      </rPr>
      <t>z tego:</t>
    </r>
    <r>
      <rPr>
        <b/>
        <i/>
        <sz val="10"/>
        <rFont val="Arial CE"/>
        <charset val="238"/>
      </rPr>
      <t xml:space="preserve"> </t>
    </r>
  </si>
  <si>
    <t xml:space="preserve">Załącznik Nr 3A  </t>
  </si>
  <si>
    <t>Załącznik Nr 3B</t>
  </si>
  <si>
    <r>
      <t xml:space="preserve">* </t>
    </r>
    <r>
      <rPr>
        <i/>
        <sz val="8"/>
        <rFont val="Arial CE"/>
        <charset val="238"/>
      </rPr>
      <t>W latach 2019 - 2022  kwota poręczenia dla Szpitala Specjalistycznego w Szczecinie Zdunowie wynosi</t>
    </r>
    <r>
      <rPr>
        <b/>
        <i/>
        <sz val="8"/>
        <rFont val="Arial CE"/>
        <charset val="238"/>
      </rPr>
      <t xml:space="preserve"> 3.680.000 zł.</t>
    </r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</si>
  <si>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</si>
  <si>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Załącznik Nr 3C</t>
  </si>
  <si>
    <t>Załącznik Nr 3D</t>
  </si>
  <si>
    <r>
      <t xml:space="preserve">Prace modernizacyjne i adaptacyjne w nieruchomościach należących do zasobu Województwa </t>
    </r>
    <r>
      <rPr>
        <sz val="10"/>
        <rFont val="Arial CE"/>
        <charset val="238"/>
      </rPr>
      <t>(jednoroczne zadania inwestycyjne)</t>
    </r>
  </si>
  <si>
    <t>Załącznik Nr 3E</t>
  </si>
  <si>
    <t>Załącznik Nr 3G</t>
  </si>
  <si>
    <t>Załącznik Nr 3H</t>
  </si>
  <si>
    <t>Załącznik Nr 3I</t>
  </si>
  <si>
    <t>I. PRZEDSIĘWZIĘCIA  FINANSOWANE PRZY WSPÓŁUDZIALE ŚRODKÓW, O KTÓRYCH MOWA W ART. 5 UST. 1 PKT. 2 I 3 UFP W ZAKRESIE ROZWOJU REGIONALNEGO I PLANOWANIA PRZESTRZENNEGO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</si>
</sst>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z_ł_-;\-* #,##0\ _z_ł_-;_-* &quot;-&quot;\ _z_ł_-;_-@_-"/>
    <numFmt numFmtId="43" formatCode="_-* #,##0.00\ _z_ł_-;\-* #,##0.00\ _z_ł_-;_-* &quot;-&quot;??\ _z_ł_-;_-@_-"/>
    <numFmt numFmtId="164" formatCode="#,##0.0"/>
    <numFmt numFmtId="165" formatCode="0.0"/>
    <numFmt numFmtId="166" formatCode="_-* #,##0\ _z_ł_-;\-* #,##0\ _z_ł_-;_-* &quot;-&quot;??\ _z_ł_-;_-@_-"/>
    <numFmt numFmtId="167" formatCode="#,##0_ ;\-#,##0\ "/>
    <numFmt numFmtId="170" formatCode="#,##0.00_ ;\-#,##0.00\ "/>
    <numFmt numFmtId="171" formatCode="#,##0.0_ ;\-#,##0.0\ "/>
  </numFmts>
  <fonts count="5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9"/>
      <name val="Arial CE"/>
      <family val="2"/>
      <charset val="238"/>
    </font>
    <font>
      <b/>
      <i/>
      <sz val="9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i/>
      <sz val="8"/>
      <name val="Arial CE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 Black"/>
      <family val="2"/>
      <charset val="238"/>
    </font>
    <font>
      <b/>
      <i/>
      <sz val="14"/>
      <name val="Arial CE"/>
      <charset val="238"/>
    </font>
    <font>
      <i/>
      <sz val="8"/>
      <name val="Arial CE"/>
      <charset val="238"/>
    </font>
    <font>
      <b/>
      <sz val="18"/>
      <name val="Arial CE"/>
      <charset val="238"/>
    </font>
    <font>
      <b/>
      <i/>
      <sz val="14"/>
      <name val="Arial Black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14"/>
      <name val="Arial Black"/>
      <family val="2"/>
      <charset val="238"/>
    </font>
    <font>
      <sz val="8"/>
      <name val="Arial Black"/>
      <family val="2"/>
      <charset val="238"/>
    </font>
    <font>
      <b/>
      <i/>
      <sz val="10"/>
      <name val="Arial CE"/>
      <family val="2"/>
      <charset val="238"/>
    </font>
    <font>
      <sz val="10"/>
      <name val="Arial Black"/>
      <family val="2"/>
      <charset val="238"/>
    </font>
    <font>
      <b/>
      <i/>
      <sz val="14"/>
      <name val="Arial"/>
      <family val="2"/>
      <charset val="238"/>
    </font>
    <font>
      <b/>
      <sz val="14"/>
      <name val="Arial CE"/>
      <family val="2"/>
      <charset val="238"/>
    </font>
    <font>
      <sz val="9"/>
      <name val="Arial"/>
      <family val="2"/>
      <charset val="238"/>
    </font>
    <font>
      <sz val="12"/>
      <name val="Arial CE"/>
      <family val="2"/>
      <charset val="238"/>
    </font>
    <font>
      <b/>
      <sz val="7"/>
      <name val="Arial CE"/>
      <family val="2"/>
      <charset val="238"/>
    </font>
    <font>
      <b/>
      <sz val="7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00FF"/>
        <bgColor indexed="64"/>
      </patternFill>
    </fill>
    <fill>
      <patternFill patternType="solid">
        <fgColor theme="9" tint="0.39997558519241921"/>
        <bgColor indexed="64"/>
      </patternFill>
    </fill>
  </fills>
  <borders count="1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378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3" fontId="13" fillId="0" borderId="0" xfId="0" applyNumberFormat="1" applyFont="1" applyFill="1" applyBorder="1" applyAlignment="1"/>
    <xf numFmtId="0" fontId="13" fillId="0" borderId="0" xfId="0" applyFont="1" applyFill="1" applyBorder="1" applyAlignment="1"/>
    <xf numFmtId="3" fontId="15" fillId="6" borderId="28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Border="1" applyAlignment="1"/>
    <xf numFmtId="0" fontId="2" fillId="0" borderId="0" xfId="0" applyFont="1" applyFill="1" applyBorder="1" applyAlignment="1"/>
    <xf numFmtId="3" fontId="9" fillId="0" borderId="25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19" xfId="0" applyFont="1" applyBorder="1"/>
    <xf numFmtId="0" fontId="2" fillId="0" borderId="47" xfId="0" applyFont="1" applyBorder="1" applyAlignment="1">
      <alignment horizontal="center" vertical="center"/>
    </xf>
    <xf numFmtId="0" fontId="2" fillId="0" borderId="10" xfId="0" applyFont="1" applyBorder="1"/>
    <xf numFmtId="3" fontId="15" fillId="6" borderId="26" xfId="0" applyNumberFormat="1" applyFont="1" applyFill="1" applyBorder="1" applyAlignment="1">
      <alignment horizontal="right" vertical="center" wrapText="1"/>
    </xf>
    <xf numFmtId="3" fontId="15" fillId="6" borderId="56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7" fillId="4" borderId="63" xfId="2" applyFont="1" applyFill="1" applyBorder="1" applyAlignment="1">
      <alignment horizontal="left" vertical="center"/>
    </xf>
    <xf numFmtId="165" fontId="29" fillId="0" borderId="62" xfId="3" applyNumberFormat="1" applyFont="1" applyFill="1" applyBorder="1" applyAlignment="1">
      <alignment vertical="center"/>
    </xf>
    <xf numFmtId="0" fontId="28" fillId="0" borderId="31" xfId="0" applyFont="1" applyBorder="1" applyAlignment="1">
      <alignment horizontal="center" vertical="center" wrapText="1"/>
    </xf>
    <xf numFmtId="0" fontId="31" fillId="0" borderId="0" xfId="0" applyFont="1" applyFill="1" applyAlignment="1"/>
    <xf numFmtId="0" fontId="32" fillId="0" borderId="0" xfId="0" applyFont="1" applyFill="1" applyAlignment="1">
      <alignment horizontal="left"/>
    </xf>
    <xf numFmtId="0" fontId="21" fillId="2" borderId="0" xfId="0" applyFont="1" applyFill="1" applyBorder="1" applyAlignment="1">
      <alignment horizontal="center" vertical="center"/>
    </xf>
    <xf numFmtId="0" fontId="2" fillId="0" borderId="87" xfId="0" applyFont="1" applyBorder="1"/>
    <xf numFmtId="0" fontId="2" fillId="0" borderId="88" xfId="0" applyFont="1" applyBorder="1"/>
    <xf numFmtId="0" fontId="2" fillId="0" borderId="1" xfId="0" applyFont="1" applyBorder="1"/>
    <xf numFmtId="0" fontId="2" fillId="3" borderId="88" xfId="0" applyFont="1" applyFill="1" applyBorder="1"/>
    <xf numFmtId="3" fontId="2" fillId="0" borderId="0" xfId="0" applyNumberFormat="1" applyFont="1"/>
    <xf numFmtId="3" fontId="9" fillId="5" borderId="25" xfId="0" applyNumberFormat="1" applyFont="1" applyFill="1" applyBorder="1" applyAlignment="1">
      <alignment vertical="center" wrapText="1"/>
    </xf>
    <xf numFmtId="3" fontId="9" fillId="5" borderId="88" xfId="0" applyNumberFormat="1" applyFont="1" applyFill="1" applyBorder="1" applyAlignment="1">
      <alignment vertical="center" wrapText="1"/>
    </xf>
    <xf numFmtId="0" fontId="15" fillId="0" borderId="115" xfId="0" applyFont="1" applyBorder="1" applyAlignment="1">
      <alignment horizontal="left" vertical="center"/>
    </xf>
    <xf numFmtId="3" fontId="15" fillId="2" borderId="113" xfId="0" quotePrefix="1" applyNumberFormat="1" applyFont="1" applyFill="1" applyBorder="1" applyAlignment="1">
      <alignment vertical="center"/>
    </xf>
    <xf numFmtId="3" fontId="15" fillId="2" borderId="111" xfId="0" quotePrefix="1" applyNumberFormat="1" applyFont="1" applyFill="1" applyBorder="1" applyAlignment="1">
      <alignment vertical="center"/>
    </xf>
    <xf numFmtId="3" fontId="15" fillId="2" borderId="124" xfId="0" quotePrefix="1" applyNumberFormat="1" applyFont="1" applyFill="1" applyBorder="1" applyAlignment="1">
      <alignment vertical="center"/>
    </xf>
    <xf numFmtId="3" fontId="15" fillId="2" borderId="122" xfId="0" quotePrefix="1" applyNumberFormat="1" applyFont="1" applyFill="1" applyBorder="1" applyAlignment="1">
      <alignment vertical="center"/>
    </xf>
    <xf numFmtId="165" fontId="15" fillId="0" borderId="115" xfId="2" applyNumberFormat="1" applyFont="1" applyFill="1" applyBorder="1" applyAlignment="1">
      <alignment horizontal="right" vertical="center"/>
    </xf>
    <xf numFmtId="165" fontId="15" fillId="0" borderId="112" xfId="2" applyNumberFormat="1" applyFont="1" applyFill="1" applyBorder="1" applyAlignment="1">
      <alignment horizontal="right" vertical="center"/>
    </xf>
    <xf numFmtId="3" fontId="15" fillId="2" borderId="112" xfId="0" quotePrefix="1" applyNumberFormat="1" applyFont="1" applyFill="1" applyBorder="1" applyAlignment="1">
      <alignment vertical="center"/>
    </xf>
    <xf numFmtId="3" fontId="22" fillId="4" borderId="30" xfId="0" applyNumberFormat="1" applyFont="1" applyFill="1" applyBorder="1" applyAlignment="1">
      <alignment horizontal="right" vertical="center" wrapText="1"/>
    </xf>
    <xf numFmtId="3" fontId="22" fillId="4" borderId="28" xfId="0" applyNumberFormat="1" applyFont="1" applyFill="1" applyBorder="1" applyAlignment="1">
      <alignment horizontal="right" vertical="center" wrapText="1"/>
    </xf>
    <xf numFmtId="3" fontId="22" fillId="4" borderId="89" xfId="0" applyNumberFormat="1" applyFont="1" applyFill="1" applyBorder="1" applyAlignment="1">
      <alignment horizontal="right" vertical="center" wrapText="1"/>
    </xf>
    <xf numFmtId="3" fontId="22" fillId="4" borderId="26" xfId="0" applyNumberFormat="1" applyFont="1" applyFill="1" applyBorder="1" applyAlignment="1">
      <alignment horizontal="right" vertical="center" wrapText="1"/>
    </xf>
    <xf numFmtId="164" fontId="22" fillId="4" borderId="28" xfId="0" applyNumberFormat="1" applyFont="1" applyFill="1" applyBorder="1" applyAlignment="1">
      <alignment horizontal="right" vertical="center" wrapText="1"/>
    </xf>
    <xf numFmtId="164" fontId="22" fillId="4" borderId="56" xfId="0" applyNumberFormat="1" applyFont="1" applyFill="1" applyBorder="1" applyAlignment="1">
      <alignment horizontal="right" vertical="center" wrapText="1"/>
    </xf>
    <xf numFmtId="3" fontId="22" fillId="4" borderId="56" xfId="0" applyNumberFormat="1" applyFont="1" applyFill="1" applyBorder="1" applyAlignment="1">
      <alignment horizontal="right" vertical="center" wrapText="1"/>
    </xf>
    <xf numFmtId="43" fontId="13" fillId="0" borderId="0" xfId="0" applyNumberFormat="1" applyFont="1" applyFill="1" applyBorder="1" applyAlignment="1"/>
    <xf numFmtId="0" fontId="15" fillId="6" borderId="30" xfId="2" applyFont="1" applyFill="1" applyBorder="1" applyAlignment="1">
      <alignment vertical="center"/>
    </xf>
    <xf numFmtId="3" fontId="15" fillId="6" borderId="30" xfId="0" applyNumberFormat="1" applyFont="1" applyFill="1" applyBorder="1" applyAlignment="1">
      <alignment horizontal="right" vertical="center" wrapText="1"/>
    </xf>
    <xf numFmtId="3" fontId="15" fillId="6" borderId="89" xfId="0" applyNumberFormat="1" applyFont="1" applyFill="1" applyBorder="1" applyAlignment="1">
      <alignment horizontal="right" vertical="center" wrapText="1"/>
    </xf>
    <xf numFmtId="164" fontId="15" fillId="6" borderId="4" xfId="0" applyNumberFormat="1" applyFont="1" applyFill="1" applyBorder="1" applyAlignment="1">
      <alignment horizontal="right" vertical="center" wrapText="1"/>
    </xf>
    <xf numFmtId="164" fontId="15" fillId="6" borderId="55" xfId="0" applyNumberFormat="1" applyFont="1" applyFill="1" applyBorder="1" applyAlignment="1">
      <alignment horizontal="right" vertical="center" wrapText="1"/>
    </xf>
    <xf numFmtId="43" fontId="2" fillId="0" borderId="0" xfId="0" applyNumberFormat="1" applyFont="1" applyFill="1" applyBorder="1" applyAlignment="1"/>
    <xf numFmtId="0" fontId="4" fillId="0" borderId="30" xfId="0" applyFont="1" applyFill="1" applyBorder="1" applyAlignment="1">
      <alignment vertical="center" wrapText="1"/>
    </xf>
    <xf numFmtId="3" fontId="4" fillId="0" borderId="30" xfId="0" applyNumberFormat="1" applyFont="1" applyFill="1" applyBorder="1" applyAlignment="1">
      <alignment vertical="center" wrapText="1"/>
    </xf>
    <xf numFmtId="3" fontId="4" fillId="0" borderId="28" xfId="0" applyNumberFormat="1" applyFont="1" applyFill="1" applyBorder="1" applyAlignment="1">
      <alignment vertical="center" wrapText="1"/>
    </xf>
    <xf numFmtId="3" fontId="4" fillId="0" borderId="89" xfId="0" applyNumberFormat="1" applyFont="1" applyFill="1" applyBorder="1" applyAlignment="1">
      <alignment vertical="center" wrapText="1"/>
    </xf>
    <xf numFmtId="3" fontId="4" fillId="0" borderId="26" xfId="0" applyNumberFormat="1" applyFont="1" applyFill="1" applyBorder="1" applyAlignment="1">
      <alignment vertical="center" wrapText="1"/>
    </xf>
    <xf numFmtId="165" fontId="4" fillId="0" borderId="4" xfId="0" applyNumberFormat="1" applyFont="1" applyFill="1" applyBorder="1" applyAlignment="1">
      <alignment vertical="center" wrapText="1"/>
    </xf>
    <xf numFmtId="3" fontId="4" fillId="0" borderId="25" xfId="0" applyNumberFormat="1" applyFont="1" applyFill="1" applyBorder="1" applyAlignment="1">
      <alignment vertical="center" wrapText="1"/>
    </xf>
    <xf numFmtId="165" fontId="4" fillId="0" borderId="55" xfId="0" applyNumberFormat="1" applyFont="1" applyFill="1" applyBorder="1" applyAlignment="1">
      <alignment vertical="center" wrapText="1"/>
    </xf>
    <xf numFmtId="43" fontId="2" fillId="0" borderId="0" xfId="0" applyNumberFormat="1" applyFont="1" applyFill="1" applyBorder="1" applyAlignment="1">
      <alignment vertical="center"/>
    </xf>
    <xf numFmtId="0" fontId="4" fillId="0" borderId="29" xfId="0" applyFont="1" applyFill="1" applyBorder="1" applyAlignment="1">
      <alignment vertical="center" wrapText="1"/>
    </xf>
    <xf numFmtId="3" fontId="9" fillId="0" borderId="88" xfId="0" applyNumberFormat="1" applyFont="1" applyFill="1" applyBorder="1" applyAlignment="1">
      <alignment vertical="center" wrapText="1"/>
    </xf>
    <xf numFmtId="3" fontId="4" fillId="0" borderId="29" xfId="0" applyNumberFormat="1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3" fontId="4" fillId="0" borderId="127" xfId="0" applyNumberFormat="1" applyFont="1" applyFill="1" applyBorder="1" applyAlignment="1">
      <alignment vertical="center" wrapText="1"/>
    </xf>
    <xf numFmtId="43" fontId="4" fillId="0" borderId="22" xfId="1" applyFont="1" applyFill="1" applyBorder="1" applyAlignment="1">
      <alignment vertical="center" wrapText="1"/>
    </xf>
    <xf numFmtId="43" fontId="4" fillId="0" borderId="55" xfId="1" applyFont="1" applyFill="1" applyBorder="1" applyAlignment="1">
      <alignment vertical="center" wrapText="1"/>
    </xf>
    <xf numFmtId="3" fontId="4" fillId="0" borderId="21" xfId="0" applyNumberFormat="1" applyFont="1" applyFill="1" applyBorder="1" applyAlignment="1">
      <alignment vertical="center" wrapText="1"/>
    </xf>
    <xf numFmtId="0" fontId="15" fillId="6" borderId="30" xfId="2" applyFont="1" applyFill="1" applyBorder="1" applyAlignment="1">
      <alignment vertical="center" wrapText="1"/>
    </xf>
    <xf numFmtId="3" fontId="15" fillId="6" borderId="29" xfId="0" applyNumberFormat="1" applyFont="1" applyFill="1" applyBorder="1" applyAlignment="1">
      <alignment vertical="center" wrapText="1"/>
    </xf>
    <xf numFmtId="3" fontId="15" fillId="6" borderId="4" xfId="0" applyNumberFormat="1" applyFont="1" applyFill="1" applyBorder="1" applyAlignment="1">
      <alignment vertical="center" wrapText="1"/>
    </xf>
    <xf numFmtId="3" fontId="15" fillId="6" borderId="127" xfId="0" applyNumberFormat="1" applyFont="1" applyFill="1" applyBorder="1" applyAlignment="1">
      <alignment vertical="center" wrapText="1"/>
    </xf>
    <xf numFmtId="3" fontId="15" fillId="6" borderId="21" xfId="0" applyNumberFormat="1" applyFont="1" applyFill="1" applyBorder="1" applyAlignment="1">
      <alignment vertical="center" wrapText="1"/>
    </xf>
    <xf numFmtId="164" fontId="15" fillId="6" borderId="28" xfId="0" applyNumberFormat="1" applyFont="1" applyFill="1" applyBorder="1" applyAlignment="1">
      <alignment horizontal="right" vertical="center" wrapText="1"/>
    </xf>
    <xf numFmtId="164" fontId="15" fillId="6" borderId="56" xfId="0" applyNumberFormat="1" applyFont="1" applyFill="1" applyBorder="1" applyAlignment="1">
      <alignment horizontal="right" vertical="center" wrapText="1"/>
    </xf>
    <xf numFmtId="3" fontId="15" fillId="6" borderId="55" xfId="0" applyNumberFormat="1" applyFont="1" applyFill="1" applyBorder="1" applyAlignment="1">
      <alignment vertical="center" wrapText="1"/>
    </xf>
    <xf numFmtId="43" fontId="4" fillId="0" borderId="4" xfId="1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vertical="center" wrapText="1"/>
    </xf>
    <xf numFmtId="43" fontId="2" fillId="0" borderId="4" xfId="1" applyFont="1" applyFill="1" applyBorder="1" applyAlignment="1">
      <alignment vertical="center" wrapText="1"/>
    </xf>
    <xf numFmtId="43" fontId="2" fillId="0" borderId="55" xfId="1" applyFont="1" applyFill="1" applyBorder="1" applyAlignment="1">
      <alignment vertical="center" wrapText="1"/>
    </xf>
    <xf numFmtId="3" fontId="2" fillId="0" borderId="89" xfId="0" applyNumberFormat="1" applyFont="1" applyFill="1" applyBorder="1" applyAlignment="1">
      <alignment vertical="center" wrapText="1"/>
    </xf>
    <xf numFmtId="3" fontId="22" fillId="4" borderId="29" xfId="0" applyNumberFormat="1" applyFont="1" applyFill="1" applyBorder="1" applyAlignment="1">
      <alignment vertical="center" wrapText="1"/>
    </xf>
    <xf numFmtId="3" fontId="22" fillId="4" borderId="4" xfId="0" applyNumberFormat="1" applyFont="1" applyFill="1" applyBorder="1" applyAlignment="1">
      <alignment vertical="center" wrapText="1"/>
    </xf>
    <xf numFmtId="3" fontId="22" fillId="4" borderId="127" xfId="0" applyNumberFormat="1" applyFont="1" applyFill="1" applyBorder="1" applyAlignment="1">
      <alignment vertical="center" wrapText="1"/>
    </xf>
    <xf numFmtId="3" fontId="22" fillId="4" borderId="21" xfId="0" applyNumberFormat="1" applyFont="1" applyFill="1" applyBorder="1" applyAlignment="1">
      <alignment vertical="center" wrapText="1"/>
    </xf>
    <xf numFmtId="164" fontId="22" fillId="4" borderId="4" xfId="0" applyNumberFormat="1" applyFont="1" applyFill="1" applyBorder="1" applyAlignment="1">
      <alignment horizontal="right" vertical="center" wrapText="1"/>
    </xf>
    <xf numFmtId="164" fontId="22" fillId="4" borderId="55" xfId="0" applyNumberFormat="1" applyFont="1" applyFill="1" applyBorder="1" applyAlignment="1">
      <alignment horizontal="right" vertical="center" wrapText="1"/>
    </xf>
    <xf numFmtId="3" fontId="22" fillId="4" borderId="55" xfId="0" applyNumberFormat="1" applyFont="1" applyFill="1" applyBorder="1" applyAlignment="1">
      <alignment vertical="center" wrapText="1"/>
    </xf>
    <xf numFmtId="43" fontId="13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9" fillId="5" borderId="9" xfId="0" applyNumberFormat="1" applyFont="1" applyFill="1" applyBorder="1" applyAlignment="1">
      <alignment vertical="center" wrapText="1"/>
    </xf>
    <xf numFmtId="3" fontId="4" fillId="0" borderId="77" xfId="0" applyNumberFormat="1" applyFont="1" applyFill="1" applyBorder="1" applyAlignment="1">
      <alignment vertical="center" wrapText="1"/>
    </xf>
    <xf numFmtId="3" fontId="4" fillId="0" borderId="84" xfId="0" applyNumberFormat="1" applyFont="1" applyFill="1" applyBorder="1" applyAlignment="1">
      <alignment vertical="center" wrapText="1"/>
    </xf>
    <xf numFmtId="3" fontId="9" fillId="5" borderId="98" xfId="0" applyNumberFormat="1" applyFont="1" applyFill="1" applyBorder="1" applyAlignment="1">
      <alignment vertical="center" wrapText="1"/>
    </xf>
    <xf numFmtId="3" fontId="9" fillId="5" borderId="87" xfId="0" applyNumberFormat="1" applyFont="1" applyFill="1" applyBorder="1" applyAlignment="1">
      <alignment vertical="center" wrapText="1"/>
    </xf>
    <xf numFmtId="3" fontId="9" fillId="5" borderId="99" xfId="0" applyNumberFormat="1" applyFont="1" applyFill="1" applyBorder="1" applyAlignment="1">
      <alignment vertical="center" wrapText="1"/>
    </xf>
    <xf numFmtId="3" fontId="15" fillId="6" borderId="62" xfId="0" applyNumberFormat="1" applyFont="1" applyFill="1" applyBorder="1" applyAlignment="1">
      <alignment vertical="center" wrapText="1"/>
    </xf>
    <xf numFmtId="3" fontId="15" fillId="6" borderId="102" xfId="0" applyNumberFormat="1" applyFont="1" applyFill="1" applyBorder="1" applyAlignment="1">
      <alignment vertical="center" wrapText="1"/>
    </xf>
    <xf numFmtId="3" fontId="9" fillId="5" borderId="66" xfId="0" applyNumberFormat="1" applyFont="1" applyFill="1" applyBorder="1" applyAlignment="1">
      <alignment vertical="center" wrapText="1"/>
    </xf>
    <xf numFmtId="3" fontId="4" fillId="0" borderId="62" xfId="0" applyNumberFormat="1" applyFont="1" applyFill="1" applyBorder="1" applyAlignment="1">
      <alignment vertical="center" wrapText="1"/>
    </xf>
    <xf numFmtId="3" fontId="4" fillId="0" borderId="65" xfId="0" applyNumberFormat="1" applyFont="1" applyFill="1" applyBorder="1" applyAlignment="1">
      <alignment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3" fontId="9" fillId="0" borderId="10" xfId="0" applyNumberFormat="1" applyFont="1" applyFill="1" applyBorder="1" applyAlignment="1">
      <alignment vertical="center" wrapText="1"/>
    </xf>
    <xf numFmtId="3" fontId="12" fillId="7" borderId="38" xfId="0" applyNumberFormat="1" applyFont="1" applyFill="1" applyBorder="1" applyAlignment="1">
      <alignment vertical="center" wrapText="1"/>
    </xf>
    <xf numFmtId="3" fontId="12" fillId="7" borderId="36" xfId="0" applyNumberFormat="1" applyFont="1" applyFill="1" applyBorder="1" applyAlignment="1">
      <alignment vertical="center" wrapText="1"/>
    </xf>
    <xf numFmtId="3" fontId="12" fillId="7" borderId="48" xfId="0" applyNumberFormat="1" applyFont="1" applyFill="1" applyBorder="1" applyAlignment="1">
      <alignment vertical="center" wrapText="1"/>
    </xf>
    <xf numFmtId="164" fontId="12" fillId="7" borderId="38" xfId="0" applyNumberFormat="1" applyFont="1" applyFill="1" applyBorder="1" applyAlignment="1">
      <alignment vertical="center" wrapText="1"/>
    </xf>
    <xf numFmtId="3" fontId="12" fillId="7" borderId="49" xfId="0" applyNumberFormat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vertical="center" wrapText="1"/>
    </xf>
    <xf numFmtId="3" fontId="9" fillId="0" borderId="19" xfId="0" applyNumberFormat="1" applyFont="1" applyFill="1" applyBorder="1" applyAlignment="1">
      <alignment vertical="center" wrapText="1"/>
    </xf>
    <xf numFmtId="3" fontId="25" fillId="0" borderId="19" xfId="0" applyNumberFormat="1" applyFont="1" applyFill="1" applyBorder="1" applyAlignment="1">
      <alignment vertical="center" wrapText="1"/>
    </xf>
    <xf numFmtId="0" fontId="2" fillId="0" borderId="102" xfId="0" applyFont="1" applyFill="1" applyBorder="1" applyAlignment="1">
      <alignment vertical="center"/>
    </xf>
    <xf numFmtId="0" fontId="2" fillId="0" borderId="102" xfId="0" applyFont="1" applyBorder="1"/>
    <xf numFmtId="0" fontId="2" fillId="0" borderId="134" xfId="0" applyFont="1" applyBorder="1"/>
    <xf numFmtId="0" fontId="2" fillId="0" borderId="104" xfId="0" applyFont="1" applyBorder="1"/>
    <xf numFmtId="3" fontId="9" fillId="5" borderId="96" xfId="0" applyNumberFormat="1" applyFont="1" applyFill="1" applyBorder="1" applyAlignment="1">
      <alignment vertical="center" wrapText="1"/>
    </xf>
    <xf numFmtId="3" fontId="9" fillId="5" borderId="92" xfId="0" applyNumberFormat="1" applyFont="1" applyFill="1" applyBorder="1" applyAlignment="1">
      <alignment vertical="center" wrapText="1"/>
    </xf>
    <xf numFmtId="0" fontId="9" fillId="0" borderId="39" xfId="0" applyFont="1" applyBorder="1" applyAlignment="1">
      <alignment horizontal="center" vertical="center"/>
    </xf>
    <xf numFmtId="0" fontId="15" fillId="0" borderId="60" xfId="0" applyFont="1" applyBorder="1" applyAlignment="1">
      <alignment horizontal="left" vertical="center"/>
    </xf>
    <xf numFmtId="3" fontId="15" fillId="2" borderId="101" xfId="0" quotePrefix="1" applyNumberFormat="1" applyFont="1" applyFill="1" applyBorder="1" applyAlignment="1">
      <alignment vertical="center"/>
    </xf>
    <xf numFmtId="3" fontId="15" fillId="2" borderId="125" xfId="0" quotePrefix="1" applyNumberFormat="1" applyFont="1" applyFill="1" applyBorder="1" applyAlignment="1">
      <alignment vertical="center"/>
    </xf>
    <xf numFmtId="165" fontId="15" fillId="0" borderId="58" xfId="2" applyNumberFormat="1" applyFont="1" applyFill="1" applyBorder="1" applyAlignment="1">
      <alignment horizontal="right" vertical="center"/>
    </xf>
    <xf numFmtId="3" fontId="15" fillId="2" borderId="60" xfId="0" quotePrefix="1" applyNumberFormat="1" applyFont="1" applyFill="1" applyBorder="1" applyAlignment="1">
      <alignment vertical="center"/>
    </xf>
    <xf numFmtId="165" fontId="15" fillId="0" borderId="59" xfId="2" applyNumberFormat="1" applyFont="1" applyFill="1" applyBorder="1" applyAlignment="1">
      <alignment horizontal="right" vertical="center"/>
    </xf>
    <xf numFmtId="3" fontId="15" fillId="2" borderId="131" xfId="0" quotePrefix="1" applyNumberFormat="1" applyFont="1" applyFill="1" applyBorder="1" applyAlignment="1">
      <alignment vertical="center"/>
    </xf>
    <xf numFmtId="0" fontId="2" fillId="3" borderId="87" xfId="0" applyFont="1" applyFill="1" applyBorder="1"/>
    <xf numFmtId="0" fontId="15" fillId="0" borderId="71" xfId="0" applyFont="1" applyBorder="1" applyAlignment="1">
      <alignment horizontal="left" vertical="top"/>
    </xf>
    <xf numFmtId="3" fontId="15" fillId="2" borderId="71" xfId="0" quotePrefix="1" applyNumberFormat="1" applyFont="1" applyFill="1" applyBorder="1" applyAlignment="1">
      <alignment vertical="center"/>
    </xf>
    <xf numFmtId="3" fontId="15" fillId="2" borderId="62" xfId="0" quotePrefix="1" applyNumberFormat="1" applyFont="1" applyFill="1" applyBorder="1" applyAlignment="1">
      <alignment vertical="center"/>
    </xf>
    <xf numFmtId="3" fontId="15" fillId="2" borderId="65" xfId="0" quotePrefix="1" applyNumberFormat="1" applyFont="1" applyFill="1" applyBorder="1" applyAlignment="1">
      <alignment vertical="center"/>
    </xf>
    <xf numFmtId="165" fontId="15" fillId="0" borderId="62" xfId="2" applyNumberFormat="1" applyFont="1" applyFill="1" applyBorder="1" applyAlignment="1">
      <alignment horizontal="right" vertical="center"/>
    </xf>
    <xf numFmtId="165" fontId="15" fillId="0" borderId="63" xfId="2" applyNumberFormat="1" applyFont="1" applyFill="1" applyBorder="1" applyAlignment="1">
      <alignment horizontal="right" vertical="center"/>
    </xf>
    <xf numFmtId="3" fontId="15" fillId="2" borderId="132" xfId="0" quotePrefix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/>
    <xf numFmtId="3" fontId="4" fillId="0" borderId="102" xfId="0" applyNumberFormat="1" applyFont="1" applyFill="1" applyBorder="1" applyAlignment="1">
      <alignment vertical="center" wrapText="1"/>
    </xf>
    <xf numFmtId="3" fontId="4" fillId="0" borderId="129" xfId="0" applyNumberFormat="1" applyFont="1" applyFill="1" applyBorder="1" applyAlignment="1">
      <alignment vertical="center" wrapText="1"/>
    </xf>
    <xf numFmtId="3" fontId="15" fillId="6" borderId="65" xfId="0" applyNumberFormat="1" applyFont="1" applyFill="1" applyBorder="1" applyAlignment="1">
      <alignment vertical="center" wrapText="1"/>
    </xf>
    <xf numFmtId="3" fontId="9" fillId="5" borderId="61" xfId="0" applyNumberFormat="1" applyFont="1" applyFill="1" applyBorder="1" applyAlignment="1">
      <alignment vertical="center" wrapText="1"/>
    </xf>
    <xf numFmtId="3" fontId="22" fillId="4" borderId="30" xfId="0" applyNumberFormat="1" applyFont="1" applyFill="1" applyBorder="1" applyAlignment="1">
      <alignment vertical="center" wrapText="1"/>
    </xf>
    <xf numFmtId="3" fontId="22" fillId="4" borderId="73" xfId="0" applyNumberFormat="1" applyFont="1" applyFill="1" applyBorder="1" applyAlignment="1">
      <alignment vertical="center" wrapText="1"/>
    </xf>
    <xf numFmtId="3" fontId="22" fillId="4" borderId="136" xfId="0" applyNumberFormat="1" applyFont="1" applyFill="1" applyBorder="1" applyAlignment="1">
      <alignment vertical="center" wrapText="1"/>
    </xf>
    <xf numFmtId="3" fontId="9" fillId="5" borderId="75" xfId="0" applyNumberFormat="1" applyFont="1" applyFill="1" applyBorder="1" applyAlignment="1">
      <alignment vertical="center" wrapText="1"/>
    </xf>
    <xf numFmtId="165" fontId="15" fillId="6" borderId="28" xfId="0" applyNumberFormat="1" applyFont="1" applyFill="1" applyBorder="1" applyAlignment="1">
      <alignment horizontal="right" vertical="center" wrapText="1"/>
    </xf>
    <xf numFmtId="165" fontId="15" fillId="6" borderId="56" xfId="0" applyNumberFormat="1" applyFont="1" applyFill="1" applyBorder="1" applyAlignment="1">
      <alignment horizontal="right" vertical="center" wrapText="1"/>
    </xf>
    <xf numFmtId="3" fontId="4" fillId="2" borderId="30" xfId="0" applyNumberFormat="1" applyFont="1" applyFill="1" applyBorder="1" applyAlignment="1">
      <alignment vertical="center" wrapText="1"/>
    </xf>
    <xf numFmtId="3" fontId="4" fillId="2" borderId="28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4" fillId="2" borderId="89" xfId="0" applyNumberFormat="1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center"/>
    </xf>
    <xf numFmtId="0" fontId="15" fillId="6" borderId="126" xfId="2" applyFont="1" applyFill="1" applyBorder="1" applyAlignment="1">
      <alignment vertical="center" wrapText="1"/>
    </xf>
    <xf numFmtId="3" fontId="15" fillId="6" borderId="126" xfId="0" applyNumberFormat="1" applyFont="1" applyFill="1" applyBorder="1" applyAlignment="1">
      <alignment vertical="center" wrapText="1"/>
    </xf>
    <xf numFmtId="3" fontId="15" fillId="6" borderId="33" xfId="0" applyNumberFormat="1" applyFont="1" applyFill="1" applyBorder="1" applyAlignment="1">
      <alignment vertical="center" wrapText="1"/>
    </xf>
    <xf numFmtId="3" fontId="15" fillId="6" borderId="133" xfId="0" applyNumberFormat="1" applyFont="1" applyFill="1" applyBorder="1" applyAlignment="1">
      <alignment vertical="center" wrapText="1"/>
    </xf>
    <xf numFmtId="165" fontId="15" fillId="6" borderId="33" xfId="0" applyNumberFormat="1" applyFont="1" applyFill="1" applyBorder="1" applyAlignment="1">
      <alignment horizontal="right" vertical="center" wrapText="1"/>
    </xf>
    <xf numFmtId="165" fontId="15" fillId="6" borderId="105" xfId="0" applyNumberFormat="1" applyFont="1" applyFill="1" applyBorder="1" applyAlignment="1">
      <alignment horizontal="right" vertical="center" wrapText="1"/>
    </xf>
    <xf numFmtId="3" fontId="15" fillId="6" borderId="105" xfId="0" applyNumberFormat="1" applyFont="1" applyFill="1" applyBorder="1" applyAlignment="1">
      <alignment vertical="center" wrapText="1"/>
    </xf>
    <xf numFmtId="3" fontId="9" fillId="5" borderId="14" xfId="0" applyNumberFormat="1" applyFont="1" applyFill="1" applyBorder="1" applyAlignment="1">
      <alignment vertical="center" wrapText="1"/>
    </xf>
    <xf numFmtId="3" fontId="9" fillId="5" borderId="107" xfId="0" applyNumberFormat="1" applyFont="1" applyFill="1" applyBorder="1" applyAlignment="1">
      <alignment vertical="center" wrapText="1"/>
    </xf>
    <xf numFmtId="0" fontId="2" fillId="0" borderId="133" xfId="0" applyFont="1" applyFill="1" applyBorder="1" applyAlignment="1">
      <alignment vertical="center"/>
    </xf>
    <xf numFmtId="3" fontId="12" fillId="7" borderId="37" xfId="0" applyNumberFormat="1" applyFont="1" applyFill="1" applyBorder="1" applyAlignment="1">
      <alignment vertical="center" wrapText="1"/>
    </xf>
    <xf numFmtId="3" fontId="12" fillId="7" borderId="44" xfId="0" applyNumberFormat="1" applyFont="1" applyFill="1" applyBorder="1" applyAlignment="1">
      <alignment vertical="center" wrapText="1"/>
    </xf>
    <xf numFmtId="164" fontId="12" fillId="7" borderId="49" xfId="0" applyNumberFormat="1" applyFont="1" applyFill="1" applyBorder="1" applyAlignment="1">
      <alignment vertical="center" wrapText="1"/>
    </xf>
    <xf numFmtId="3" fontId="12" fillId="7" borderId="45" xfId="0" applyNumberFormat="1" applyFont="1" applyFill="1" applyBorder="1" applyAlignment="1">
      <alignment vertical="center" wrapText="1"/>
    </xf>
    <xf numFmtId="3" fontId="12" fillId="7" borderId="14" xfId="0" applyNumberFormat="1" applyFont="1" applyFill="1" applyBorder="1" applyAlignment="1">
      <alignment vertical="center" wrapText="1"/>
    </xf>
    <xf numFmtId="3" fontId="12" fillId="7" borderId="13" xfId="0" applyNumberFormat="1" applyFont="1" applyFill="1" applyBorder="1" applyAlignment="1">
      <alignment vertical="center" wrapText="1"/>
    </xf>
    <xf numFmtId="3" fontId="12" fillId="7" borderId="15" xfId="0" applyNumberFormat="1" applyFont="1" applyFill="1" applyBorder="1" applyAlignment="1">
      <alignment vertical="center" wrapText="1"/>
    </xf>
    <xf numFmtId="3" fontId="12" fillId="7" borderId="46" xfId="0" applyNumberFormat="1" applyFont="1" applyFill="1" applyBorder="1" applyAlignment="1">
      <alignment vertical="center" wrapText="1"/>
    </xf>
    <xf numFmtId="164" fontId="12" fillId="7" borderId="13" xfId="0" applyNumberFormat="1" applyFont="1" applyFill="1" applyBorder="1" applyAlignment="1">
      <alignment vertical="center" wrapText="1"/>
    </xf>
    <xf numFmtId="164" fontId="12" fillId="7" borderId="31" xfId="0" applyNumberFormat="1" applyFont="1" applyFill="1" applyBorder="1" applyAlignment="1">
      <alignment vertical="center" wrapText="1"/>
    </xf>
    <xf numFmtId="3" fontId="12" fillId="7" borderId="42" xfId="0" applyNumberFormat="1" applyFont="1" applyFill="1" applyBorder="1" applyAlignment="1">
      <alignment vertical="center" wrapText="1"/>
    </xf>
    <xf numFmtId="3" fontId="12" fillId="8" borderId="38" xfId="0" applyNumberFormat="1" applyFont="1" applyFill="1" applyBorder="1" applyAlignment="1">
      <alignment vertical="center" wrapText="1"/>
    </xf>
    <xf numFmtId="3" fontId="12" fillId="8" borderId="44" xfId="0" applyNumberFormat="1" applyFont="1" applyFill="1" applyBorder="1" applyAlignment="1">
      <alignment vertical="center" wrapText="1"/>
    </xf>
    <xf numFmtId="164" fontId="12" fillId="8" borderId="38" xfId="0" applyNumberFormat="1" applyFont="1" applyFill="1" applyBorder="1" applyAlignment="1">
      <alignment vertical="center" wrapText="1"/>
    </xf>
    <xf numFmtId="164" fontId="12" fillId="8" borderId="49" xfId="0" applyNumberFormat="1" applyFont="1" applyFill="1" applyBorder="1" applyAlignment="1">
      <alignment vertical="center" wrapText="1"/>
    </xf>
    <xf numFmtId="3" fontId="12" fillId="8" borderId="45" xfId="0" applyNumberFormat="1" applyFont="1" applyFill="1" applyBorder="1" applyAlignment="1">
      <alignment vertical="center" wrapText="1"/>
    </xf>
    <xf numFmtId="3" fontId="15" fillId="0" borderId="37" xfId="0" applyNumberFormat="1" applyFont="1" applyFill="1" applyBorder="1" applyAlignment="1">
      <alignment vertical="center" wrapText="1"/>
    </xf>
    <xf numFmtId="3" fontId="15" fillId="0" borderId="38" xfId="0" applyNumberFormat="1" applyFont="1" applyFill="1" applyBorder="1" applyAlignment="1">
      <alignment vertical="center" wrapText="1"/>
    </xf>
    <xf numFmtId="3" fontId="15" fillId="0" borderId="97" xfId="0" applyNumberFormat="1" applyFont="1" applyFill="1" applyBorder="1" applyAlignment="1">
      <alignment vertical="center" wrapText="1"/>
    </xf>
    <xf numFmtId="3" fontId="15" fillId="0" borderId="48" xfId="0" applyNumberFormat="1" applyFont="1" applyFill="1" applyBorder="1" applyAlignment="1">
      <alignment vertical="center" wrapText="1"/>
    </xf>
    <xf numFmtId="164" fontId="15" fillId="16" borderId="38" xfId="0" applyNumberFormat="1" applyFont="1" applyFill="1" applyBorder="1" applyAlignment="1">
      <alignment vertical="center" wrapText="1"/>
    </xf>
    <xf numFmtId="164" fontId="15" fillId="16" borderId="97" xfId="0" applyNumberFormat="1" applyFont="1" applyFill="1" applyBorder="1" applyAlignment="1">
      <alignment vertical="center" wrapText="1"/>
    </xf>
    <xf numFmtId="3" fontId="22" fillId="0" borderId="45" xfId="0" applyNumberFormat="1" applyFont="1" applyFill="1" applyBorder="1" applyAlignment="1">
      <alignment vertical="center" wrapText="1"/>
    </xf>
    <xf numFmtId="3" fontId="15" fillId="0" borderId="18" xfId="0" applyNumberFormat="1" applyFont="1" applyFill="1" applyBorder="1" applyAlignment="1">
      <alignment vertical="center" wrapText="1"/>
    </xf>
    <xf numFmtId="3" fontId="15" fillId="0" borderId="20" xfId="0" applyNumberFormat="1" applyFont="1" applyFill="1" applyBorder="1" applyAlignment="1">
      <alignment vertical="center" wrapText="1"/>
    </xf>
    <xf numFmtId="3" fontId="15" fillId="0" borderId="87" xfId="0" applyNumberFormat="1" applyFont="1" applyFill="1" applyBorder="1" applyAlignment="1">
      <alignment vertical="center" wrapText="1"/>
    </xf>
    <xf numFmtId="3" fontId="15" fillId="0" borderId="17" xfId="0" applyNumberFormat="1" applyFont="1" applyFill="1" applyBorder="1" applyAlignment="1">
      <alignment vertical="center" wrapText="1"/>
    </xf>
    <xf numFmtId="164" fontId="15" fillId="16" borderId="20" xfId="0" applyNumberFormat="1" applyFont="1" applyFill="1" applyBorder="1" applyAlignment="1">
      <alignment vertical="center" wrapText="1"/>
    </xf>
    <xf numFmtId="164" fontId="15" fillId="16" borderId="87" xfId="0" applyNumberFormat="1" applyFont="1" applyFill="1" applyBorder="1" applyAlignment="1">
      <alignment vertical="center" wrapText="1"/>
    </xf>
    <xf numFmtId="3" fontId="22" fillId="0" borderId="39" xfId="0" applyNumberFormat="1" applyFont="1" applyFill="1" applyBorder="1" applyAlignment="1">
      <alignment vertical="center" wrapText="1"/>
    </xf>
    <xf numFmtId="3" fontId="12" fillId="8" borderId="37" xfId="0" applyNumberFormat="1" applyFont="1" applyFill="1" applyBorder="1" applyAlignment="1">
      <alignment vertical="center" wrapText="1"/>
    </xf>
    <xf numFmtId="3" fontId="12" fillId="8" borderId="36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/>
    </xf>
    <xf numFmtId="0" fontId="4" fillId="0" borderId="0" xfId="0" applyFont="1" applyBorder="1"/>
    <xf numFmtId="0" fontId="1" fillId="0" borderId="0" xfId="0" applyFont="1" applyBorder="1"/>
    <xf numFmtId="0" fontId="8" fillId="0" borderId="0" xfId="0" applyFont="1"/>
    <xf numFmtId="0" fontId="23" fillId="0" borderId="0" xfId="0" applyFont="1" applyFill="1" applyAlignment="1">
      <alignment horizontal="left"/>
    </xf>
    <xf numFmtId="0" fontId="27" fillId="2" borderId="0" xfId="0" applyFont="1" applyFill="1" applyBorder="1" applyAlignment="1">
      <alignment horizontal="right" vertical="center" wrapText="1"/>
    </xf>
    <xf numFmtId="0" fontId="8" fillId="0" borderId="0" xfId="0" applyFont="1" applyBorder="1"/>
    <xf numFmtId="0" fontId="23" fillId="0" borderId="0" xfId="0" applyFont="1" applyFill="1" applyBorder="1" applyAlignment="1">
      <alignment horizontal="left"/>
    </xf>
    <xf numFmtId="0" fontId="30" fillId="2" borderId="46" xfId="2" applyFont="1" applyFill="1" applyBorder="1" applyAlignment="1">
      <alignment wrapText="1"/>
    </xf>
    <xf numFmtId="0" fontId="37" fillId="0" borderId="12" xfId="0" applyFont="1" applyBorder="1" applyAlignment="1">
      <alignment wrapText="1"/>
    </xf>
    <xf numFmtId="0" fontId="38" fillId="0" borderId="12" xfId="0" applyFont="1" applyBorder="1" applyAlignment="1">
      <alignment wrapText="1"/>
    </xf>
    <xf numFmtId="0" fontId="38" fillId="0" borderId="92" xfId="0" applyFont="1" applyBorder="1" applyAlignment="1">
      <alignment wrapText="1"/>
    </xf>
    <xf numFmtId="3" fontId="1" fillId="0" borderId="0" xfId="0" applyNumberFormat="1" applyFont="1"/>
    <xf numFmtId="0" fontId="17" fillId="0" borderId="0" xfId="0" applyFont="1"/>
    <xf numFmtId="0" fontId="22" fillId="4" borderId="62" xfId="2" applyFont="1" applyFill="1" applyBorder="1" applyAlignment="1">
      <alignment horizontal="left" vertical="center"/>
    </xf>
    <xf numFmtId="3" fontId="3" fillId="20" borderId="61" xfId="2" applyNumberFormat="1" applyFont="1" applyFill="1" applyBorder="1" applyAlignment="1">
      <alignment horizontal="right" vertical="center"/>
    </xf>
    <xf numFmtId="3" fontId="3" fillId="20" borderId="62" xfId="2" applyNumberFormat="1" applyFont="1" applyFill="1" applyBorder="1" applyAlignment="1">
      <alignment horizontal="right" vertical="center"/>
    </xf>
    <xf numFmtId="3" fontId="3" fillId="20" borderId="63" xfId="2" applyNumberFormat="1" applyFont="1" applyFill="1" applyBorder="1" applyAlignment="1">
      <alignment horizontal="right" vertical="center"/>
    </xf>
    <xf numFmtId="165" fontId="3" fillId="20" borderId="64" xfId="2" applyNumberFormat="1" applyFont="1" applyFill="1" applyBorder="1" applyAlignment="1">
      <alignment horizontal="right" vertical="center"/>
    </xf>
    <xf numFmtId="3" fontId="39" fillId="18" borderId="61" xfId="2" applyNumberFormat="1" applyFont="1" applyFill="1" applyBorder="1" applyAlignment="1">
      <alignment horizontal="right" vertical="center"/>
    </xf>
    <xf numFmtId="3" fontId="39" fillId="18" borderId="62" xfId="2" applyNumberFormat="1" applyFont="1" applyFill="1" applyBorder="1" applyAlignment="1">
      <alignment horizontal="right" vertical="center"/>
    </xf>
    <xf numFmtId="3" fontId="39" fillId="18" borderId="63" xfId="2" applyNumberFormat="1" applyFont="1" applyFill="1" applyBorder="1" applyAlignment="1">
      <alignment horizontal="right" vertical="center"/>
    </xf>
    <xf numFmtId="3" fontId="2" fillId="18" borderId="61" xfId="2" applyNumberFormat="1" applyFont="1" applyFill="1" applyBorder="1" applyAlignment="1">
      <alignment horizontal="right" vertical="center"/>
    </xf>
    <xf numFmtId="3" fontId="2" fillId="18" borderId="62" xfId="2" applyNumberFormat="1" applyFont="1" applyFill="1" applyBorder="1" applyAlignment="1">
      <alignment horizontal="right" vertical="center"/>
    </xf>
    <xf numFmtId="3" fontId="2" fillId="18" borderId="63" xfId="2" applyNumberFormat="1" applyFont="1" applyFill="1" applyBorder="1" applyAlignment="1">
      <alignment horizontal="right" vertical="center"/>
    </xf>
    <xf numFmtId="43" fontId="2" fillId="18" borderId="62" xfId="1" applyFont="1" applyFill="1" applyBorder="1" applyAlignment="1">
      <alignment horizontal="right" vertical="center"/>
    </xf>
    <xf numFmtId="43" fontId="1" fillId="18" borderId="64" xfId="1" applyFont="1" applyFill="1" applyBorder="1" applyAlignment="1">
      <alignment vertical="center"/>
    </xf>
    <xf numFmtId="3" fontId="3" fillId="4" borderId="61" xfId="2" applyNumberFormat="1" applyFont="1" applyFill="1" applyBorder="1" applyAlignment="1"/>
    <xf numFmtId="3" fontId="3" fillId="4" borderId="62" xfId="2" applyNumberFormat="1" applyFont="1" applyFill="1" applyBorder="1" applyAlignment="1"/>
    <xf numFmtId="3" fontId="3" fillId="4" borderId="63" xfId="2" applyNumberFormat="1" applyFont="1" applyFill="1" applyBorder="1" applyAlignment="1"/>
    <xf numFmtId="0" fontId="6" fillId="15" borderId="59" xfId="2" applyFont="1" applyFill="1" applyBorder="1" applyAlignment="1">
      <alignment horizontal="center" vertical="center" wrapText="1"/>
    </xf>
    <xf numFmtId="3" fontId="3" fillId="15" borderId="57" xfId="2" applyNumberFormat="1" applyFont="1" applyFill="1" applyBorder="1" applyAlignment="1">
      <alignment horizontal="right" vertical="center"/>
    </xf>
    <xf numFmtId="3" fontId="3" fillId="15" borderId="58" xfId="2" applyNumberFormat="1" applyFont="1" applyFill="1" applyBorder="1" applyAlignment="1">
      <alignment horizontal="right" vertical="center"/>
    </xf>
    <xf numFmtId="3" fontId="3" fillId="15" borderId="59" xfId="2" applyNumberFormat="1" applyFont="1" applyFill="1" applyBorder="1" applyAlignment="1">
      <alignment horizontal="right" vertical="center"/>
    </xf>
    <xf numFmtId="3" fontId="3" fillId="15" borderId="60" xfId="2" applyNumberFormat="1" applyFont="1" applyFill="1" applyBorder="1" applyAlignment="1">
      <alignment horizontal="right" vertical="center"/>
    </xf>
    <xf numFmtId="3" fontId="3" fillId="4" borderId="64" xfId="2" applyNumberFormat="1" applyFont="1" applyFill="1" applyBorder="1" applyAlignment="1"/>
    <xf numFmtId="3" fontId="15" fillId="2" borderId="62" xfId="2" applyNumberFormat="1" applyFont="1" applyFill="1" applyBorder="1" applyAlignment="1">
      <alignment vertical="top" wrapText="1"/>
    </xf>
    <xf numFmtId="0" fontId="2" fillId="0" borderId="62" xfId="2" applyFont="1" applyFill="1" applyBorder="1" applyAlignment="1">
      <alignment vertical="top"/>
    </xf>
    <xf numFmtId="3" fontId="1" fillId="0" borderId="61" xfId="3" applyNumberFormat="1" applyFont="1" applyFill="1" applyBorder="1" applyAlignment="1">
      <alignment vertical="center"/>
    </xf>
    <xf numFmtId="3" fontId="4" fillId="0" borderId="62" xfId="2" applyNumberFormat="1" applyFont="1" applyFill="1" applyBorder="1" applyAlignment="1">
      <alignment horizontal="right" vertical="center"/>
    </xf>
    <xf numFmtId="3" fontId="2" fillId="0" borderId="61" xfId="2" applyNumberFormat="1" applyFont="1" applyFill="1" applyBorder="1" applyAlignment="1">
      <alignment horizontal="right" vertical="center"/>
    </xf>
    <xf numFmtId="3" fontId="2" fillId="0" borderId="64" xfId="2" applyNumberFormat="1" applyFont="1" applyFill="1" applyBorder="1" applyAlignment="1">
      <alignment horizontal="right" vertical="center"/>
    </xf>
    <xf numFmtId="43" fontId="2" fillId="0" borderId="63" xfId="1" applyFont="1" applyFill="1" applyBorder="1" applyAlignment="1">
      <alignment horizontal="right" vertical="center"/>
    </xf>
    <xf numFmtId="165" fontId="4" fillId="0" borderId="62" xfId="2" applyNumberFormat="1" applyFont="1" applyFill="1" applyBorder="1" applyAlignment="1">
      <alignment horizontal="right" vertical="center"/>
    </xf>
    <xf numFmtId="43" fontId="2" fillId="0" borderId="62" xfId="1" applyFont="1" applyFill="1" applyBorder="1" applyAlignment="1">
      <alignment horizontal="right" vertical="center"/>
    </xf>
    <xf numFmtId="43" fontId="4" fillId="0" borderId="64" xfId="1" applyFont="1" applyFill="1" applyBorder="1" applyAlignment="1">
      <alignment horizontal="right" vertical="center"/>
    </xf>
    <xf numFmtId="0" fontId="1" fillId="0" borderId="0" xfId="0" applyFont="1" applyFill="1"/>
    <xf numFmtId="0" fontId="15" fillId="2" borderId="62" xfId="2" applyFont="1" applyFill="1" applyBorder="1" applyAlignment="1">
      <alignment vertical="top"/>
    </xf>
    <xf numFmtId="3" fontId="29" fillId="0" borderId="61" xfId="3" applyNumberFormat="1" applyFont="1" applyFill="1" applyBorder="1" applyAlignment="1">
      <alignment vertical="center"/>
    </xf>
    <xf numFmtId="3" fontId="29" fillId="0" borderId="62" xfId="3" applyNumberFormat="1" applyFont="1" applyFill="1" applyBorder="1" applyAlignment="1">
      <alignment vertical="center"/>
    </xf>
    <xf numFmtId="43" fontId="29" fillId="0" borderId="63" xfId="1" applyFont="1" applyFill="1" applyBorder="1" applyAlignment="1">
      <alignment vertical="center"/>
    </xf>
    <xf numFmtId="43" fontId="29" fillId="0" borderId="62" xfId="1" applyFont="1" applyFill="1" applyBorder="1" applyAlignment="1">
      <alignment vertical="center"/>
    </xf>
    <xf numFmtId="43" fontId="29" fillId="0" borderId="64" xfId="1" applyFont="1" applyFill="1" applyBorder="1" applyAlignment="1">
      <alignment vertical="center"/>
    </xf>
    <xf numFmtId="3" fontId="29" fillId="0" borderId="64" xfId="3" applyNumberFormat="1" applyFont="1" applyFill="1" applyBorder="1" applyAlignment="1">
      <alignment vertical="center"/>
    </xf>
    <xf numFmtId="43" fontId="4" fillId="0" borderId="62" xfId="1" applyFont="1" applyFill="1" applyBorder="1" applyAlignment="1">
      <alignment horizontal="right" vertical="center"/>
    </xf>
    <xf numFmtId="43" fontId="3" fillId="4" borderId="63" xfId="1" applyFont="1" applyFill="1" applyBorder="1" applyAlignment="1"/>
    <xf numFmtId="3" fontId="1" fillId="0" borderId="67" xfId="3" applyNumberFormat="1" applyFont="1" applyFill="1" applyBorder="1" applyAlignment="1">
      <alignment vertical="center"/>
    </xf>
    <xf numFmtId="3" fontId="2" fillId="0" borderId="68" xfId="2" applyNumberFormat="1" applyFont="1" applyFill="1" applyBorder="1" applyAlignment="1">
      <alignment horizontal="right" vertical="center"/>
    </xf>
    <xf numFmtId="3" fontId="2" fillId="0" borderId="67" xfId="2" applyNumberFormat="1" applyFont="1" applyFill="1" applyBorder="1" applyAlignment="1">
      <alignment horizontal="right" vertical="center"/>
    </xf>
    <xf numFmtId="3" fontId="2" fillId="0" borderId="70" xfId="2" applyNumberFormat="1" applyFont="1" applyFill="1" applyBorder="1" applyAlignment="1">
      <alignment horizontal="right" vertical="center"/>
    </xf>
    <xf numFmtId="0" fontId="1" fillId="0" borderId="0" xfId="0" applyFont="1" applyAlignment="1"/>
    <xf numFmtId="165" fontId="22" fillId="4" borderId="62" xfId="2" applyNumberFormat="1" applyFont="1" applyFill="1" applyBorder="1" applyAlignment="1">
      <alignment horizontal="right" vertical="center"/>
    </xf>
    <xf numFmtId="0" fontId="1" fillId="0" borderId="0" xfId="0" applyFont="1" applyFill="1" applyAlignment="1"/>
    <xf numFmtId="43" fontId="4" fillId="0" borderId="63" xfId="1" applyFont="1" applyFill="1" applyBorder="1" applyAlignment="1">
      <alignment horizontal="right" vertical="center"/>
    </xf>
    <xf numFmtId="165" fontId="4" fillId="0" borderId="68" xfId="2" applyNumberFormat="1" applyFont="1" applyFill="1" applyBorder="1" applyAlignment="1">
      <alignment horizontal="right" vertical="center"/>
    </xf>
    <xf numFmtId="165" fontId="22" fillId="4" borderId="64" xfId="2" applyNumberFormat="1" applyFont="1" applyFill="1" applyBorder="1" applyAlignment="1">
      <alignment horizontal="right" vertical="center"/>
    </xf>
    <xf numFmtId="43" fontId="2" fillId="0" borderId="69" xfId="1" applyFont="1" applyFill="1" applyBorder="1" applyAlignment="1">
      <alignment horizontal="right" vertical="center"/>
    </xf>
    <xf numFmtId="165" fontId="4" fillId="0" borderId="70" xfId="2" applyNumberFormat="1" applyFont="1" applyFill="1" applyBorder="1" applyAlignment="1">
      <alignment horizontal="right" vertical="center"/>
    </xf>
    <xf numFmtId="3" fontId="4" fillId="0" borderId="61" xfId="2" applyNumberFormat="1" applyFont="1" applyFill="1" applyBorder="1" applyAlignment="1">
      <alignment horizontal="right" vertical="center"/>
    </xf>
    <xf numFmtId="43" fontId="39" fillId="0" borderId="63" xfId="1" applyFont="1" applyFill="1" applyBorder="1" applyAlignment="1">
      <alignment horizontal="right" vertical="center"/>
    </xf>
    <xf numFmtId="165" fontId="4" fillId="0" borderId="64" xfId="2" applyNumberFormat="1" applyFont="1" applyFill="1" applyBorder="1" applyAlignment="1">
      <alignment horizontal="right" vertical="center"/>
    </xf>
    <xf numFmtId="3" fontId="15" fillId="2" borderId="61" xfId="2" applyNumberFormat="1" applyFont="1" applyFill="1" applyBorder="1" applyAlignment="1"/>
    <xf numFmtId="3" fontId="15" fillId="2" borderId="62" xfId="2" applyNumberFormat="1" applyFont="1" applyFill="1" applyBorder="1" applyAlignment="1"/>
    <xf numFmtId="43" fontId="39" fillId="2" borderId="63" xfId="1" applyFont="1" applyFill="1" applyBorder="1" applyAlignment="1"/>
    <xf numFmtId="0" fontId="2" fillId="0" borderId="68" xfId="2" applyFont="1" applyFill="1" applyBorder="1" applyAlignment="1">
      <alignment vertical="top"/>
    </xf>
    <xf numFmtId="3" fontId="4" fillId="0" borderId="64" xfId="2" applyNumberFormat="1" applyFont="1" applyFill="1" applyBorder="1" applyAlignment="1">
      <alignment horizontal="right" vertical="center"/>
    </xf>
    <xf numFmtId="43" fontId="15" fillId="2" borderId="63" xfId="1" applyFont="1" applyFill="1" applyBorder="1" applyAlignment="1"/>
    <xf numFmtId="3" fontId="1" fillId="0" borderId="68" xfId="3" applyNumberFormat="1" applyFont="1" applyFill="1" applyBorder="1" applyAlignment="1">
      <alignment vertical="center"/>
    </xf>
    <xf numFmtId="43" fontId="15" fillId="2" borderId="62" xfId="1" applyFont="1" applyFill="1" applyBorder="1" applyAlignment="1"/>
    <xf numFmtId="3" fontId="4" fillId="0" borderId="63" xfId="2" applyNumberFormat="1" applyFont="1" applyFill="1" applyBorder="1" applyAlignment="1">
      <alignment horizontal="right" vertical="center"/>
    </xf>
    <xf numFmtId="3" fontId="29" fillId="0" borderId="63" xfId="3" applyNumberFormat="1" applyFont="1" applyFill="1" applyBorder="1" applyAlignment="1">
      <alignment vertical="center"/>
    </xf>
    <xf numFmtId="43" fontId="3" fillId="4" borderId="62" xfId="1" applyFont="1" applyFill="1" applyBorder="1" applyAlignment="1"/>
    <xf numFmtId="3" fontId="15" fillId="2" borderId="64" xfId="2" applyNumberFormat="1" applyFont="1" applyFill="1" applyBorder="1" applyAlignment="1"/>
    <xf numFmtId="43" fontId="39" fillId="2" borderId="62" xfId="1" applyFont="1" applyFill="1" applyBorder="1" applyAlignment="1"/>
    <xf numFmtId="0" fontId="2" fillId="0" borderId="62" xfId="2" applyFont="1" applyFill="1" applyBorder="1" applyAlignment="1">
      <alignment horizontal="left" vertical="center"/>
    </xf>
    <xf numFmtId="3" fontId="22" fillId="15" borderId="57" xfId="2" applyNumberFormat="1" applyFont="1" applyFill="1" applyBorder="1" applyAlignment="1">
      <alignment horizontal="right" vertical="center"/>
    </xf>
    <xf numFmtId="3" fontId="22" fillId="15" borderId="58" xfId="2" applyNumberFormat="1" applyFont="1" applyFill="1" applyBorder="1" applyAlignment="1">
      <alignment horizontal="right" vertical="center"/>
    </xf>
    <xf numFmtId="0" fontId="1" fillId="2" borderId="0" xfId="0" applyFont="1" applyFill="1" applyAlignment="1"/>
    <xf numFmtId="165" fontId="15" fillId="0" borderId="64" xfId="2" applyNumberFormat="1" applyFont="1" applyFill="1" applyBorder="1" applyAlignment="1">
      <alignment horizontal="right" vertical="center"/>
    </xf>
    <xf numFmtId="0" fontId="22" fillId="15" borderId="58" xfId="2" applyFont="1" applyFill="1" applyBorder="1" applyAlignment="1">
      <alignment vertical="center" wrapText="1"/>
    </xf>
    <xf numFmtId="0" fontId="2" fillId="0" borderId="94" xfId="2" applyFont="1" applyFill="1" applyBorder="1" applyAlignment="1">
      <alignment vertical="top"/>
    </xf>
    <xf numFmtId="3" fontId="2" fillId="0" borderId="94" xfId="2" applyNumberFormat="1" applyFont="1" applyFill="1" applyBorder="1" applyAlignment="1">
      <alignment horizontal="right"/>
    </xf>
    <xf numFmtId="43" fontId="2" fillId="0" borderId="95" xfId="1" applyFont="1" applyFill="1" applyBorder="1" applyAlignment="1">
      <alignment horizontal="right"/>
    </xf>
    <xf numFmtId="43" fontId="3" fillId="4" borderId="61" xfId="1" applyFont="1" applyFill="1" applyBorder="1" applyAlignment="1"/>
    <xf numFmtId="43" fontId="22" fillId="4" borderId="64" xfId="1" applyFont="1" applyFill="1" applyBorder="1" applyAlignment="1">
      <alignment horizontal="right" vertical="center"/>
    </xf>
    <xf numFmtId="43" fontId="15" fillId="2" borderId="61" xfId="1" applyFont="1" applyFill="1" applyBorder="1" applyAlignment="1"/>
    <xf numFmtId="43" fontId="15" fillId="0" borderId="64" xfId="1" applyFont="1" applyFill="1" applyBorder="1" applyAlignment="1">
      <alignment horizontal="right" vertical="center"/>
    </xf>
    <xf numFmtId="165" fontId="4" fillId="0" borderId="94" xfId="2" applyNumberFormat="1" applyFont="1" applyFill="1" applyBorder="1" applyAlignment="1">
      <alignment horizontal="right" vertical="center"/>
    </xf>
    <xf numFmtId="43" fontId="29" fillId="0" borderId="61" xfId="1" applyFont="1" applyFill="1" applyBorder="1" applyAlignment="1">
      <alignment vertical="center"/>
    </xf>
    <xf numFmtId="43" fontId="4" fillId="0" borderId="61" xfId="1" applyFont="1" applyFill="1" applyBorder="1" applyAlignment="1">
      <alignment horizontal="right" vertical="center"/>
    </xf>
    <xf numFmtId="0" fontId="7" fillId="20" borderId="63" xfId="2" applyFont="1" applyFill="1" applyBorder="1" applyAlignment="1">
      <alignment horizontal="left" vertical="center"/>
    </xf>
    <xf numFmtId="165" fontId="3" fillId="20" borderId="62" xfId="2" applyNumberFormat="1" applyFont="1" applyFill="1" applyBorder="1" applyAlignment="1">
      <alignment horizontal="right" vertical="center"/>
    </xf>
    <xf numFmtId="3" fontId="3" fillId="20" borderId="64" xfId="2" applyNumberFormat="1" applyFont="1" applyFill="1" applyBorder="1" applyAlignment="1">
      <alignment horizontal="right" vertical="center"/>
    </xf>
    <xf numFmtId="3" fontId="39" fillId="18" borderId="79" xfId="2" applyNumberFormat="1" applyFont="1" applyFill="1" applyBorder="1" applyAlignment="1">
      <alignment horizontal="right" vertical="center"/>
    </xf>
    <xf numFmtId="3" fontId="39" fillId="18" borderId="77" xfId="2" applyNumberFormat="1" applyFont="1" applyFill="1" applyBorder="1" applyAlignment="1">
      <alignment horizontal="right" vertical="center"/>
    </xf>
    <xf numFmtId="3" fontId="39" fillId="18" borderId="78" xfId="2" applyNumberFormat="1" applyFont="1" applyFill="1" applyBorder="1" applyAlignment="1">
      <alignment horizontal="right" vertical="center"/>
    </xf>
    <xf numFmtId="3" fontId="39" fillId="18" borderId="80" xfId="2" applyNumberFormat="1" applyFont="1" applyFill="1" applyBorder="1" applyAlignment="1">
      <alignment horizontal="right" vertical="center"/>
    </xf>
    <xf numFmtId="0" fontId="17" fillId="0" borderId="0" xfId="0" applyFont="1" applyFill="1"/>
    <xf numFmtId="3" fontId="2" fillId="18" borderId="64" xfId="2" applyNumberFormat="1" applyFont="1" applyFill="1" applyBorder="1" applyAlignment="1">
      <alignment horizontal="right" vertical="center"/>
    </xf>
    <xf numFmtId="43" fontId="39" fillId="18" borderId="62" xfId="1" applyFont="1" applyFill="1" applyBorder="1" applyAlignment="1">
      <alignment horizontal="right" vertical="center"/>
    </xf>
    <xf numFmtId="0" fontId="22" fillId="10" borderId="77" xfId="2" applyFont="1" applyFill="1" applyBorder="1" applyAlignment="1">
      <alignment horizontal="left" vertical="center" wrapText="1"/>
    </xf>
    <xf numFmtId="0" fontId="7" fillId="10" borderId="78" xfId="2" applyFont="1" applyFill="1" applyBorder="1" applyAlignment="1">
      <alignment horizontal="left" vertical="center" wrapText="1"/>
    </xf>
    <xf numFmtId="3" fontId="4" fillId="10" borderId="79" xfId="2" applyNumberFormat="1" applyFont="1" applyFill="1" applyBorder="1" applyAlignment="1">
      <alignment horizontal="right" vertical="center"/>
    </xf>
    <xf numFmtId="3" fontId="3" fillId="10" borderId="77" xfId="2" applyNumberFormat="1" applyFont="1" applyFill="1" applyBorder="1" applyAlignment="1">
      <alignment horizontal="right" vertical="center"/>
    </xf>
    <xf numFmtId="3" fontId="3" fillId="10" borderId="78" xfId="2" applyNumberFormat="1" applyFont="1" applyFill="1" applyBorder="1" applyAlignment="1">
      <alignment horizontal="right" vertical="center"/>
    </xf>
    <xf numFmtId="3" fontId="3" fillId="10" borderId="79" xfId="2" applyNumberFormat="1" applyFont="1" applyFill="1" applyBorder="1" applyAlignment="1">
      <alignment horizontal="right" vertical="center"/>
    </xf>
    <xf numFmtId="165" fontId="4" fillId="0" borderId="77" xfId="2" applyNumberFormat="1" applyFont="1" applyFill="1" applyBorder="1" applyAlignment="1">
      <alignment horizontal="right" vertical="center"/>
    </xf>
    <xf numFmtId="165" fontId="4" fillId="0" borderId="80" xfId="2" applyNumberFormat="1" applyFont="1" applyFill="1" applyBorder="1" applyAlignment="1">
      <alignment horizontal="right" vertical="center"/>
    </xf>
    <xf numFmtId="3" fontId="3" fillId="10" borderId="80" xfId="2" applyNumberFormat="1" applyFont="1" applyFill="1" applyBorder="1" applyAlignment="1">
      <alignment horizontal="right" vertical="center"/>
    </xf>
    <xf numFmtId="3" fontId="18" fillId="4" borderId="61" xfId="3" applyNumberFormat="1" applyFont="1" applyFill="1" applyBorder="1" applyAlignment="1">
      <alignment horizontal="right" vertical="center"/>
    </xf>
    <xf numFmtId="3" fontId="18" fillId="4" borderId="62" xfId="3" applyNumberFormat="1" applyFont="1" applyFill="1" applyBorder="1" applyAlignment="1">
      <alignment horizontal="right" vertical="center"/>
    </xf>
    <xf numFmtId="3" fontId="18" fillId="4" borderId="63" xfId="3" applyNumberFormat="1" applyFont="1" applyFill="1" applyBorder="1" applyAlignment="1">
      <alignment horizontal="right" vertical="center"/>
    </xf>
    <xf numFmtId="3" fontId="18" fillId="4" borderId="64" xfId="3" applyNumberFormat="1" applyFont="1" applyFill="1" applyBorder="1" applyAlignment="1">
      <alignment horizontal="right" vertical="center"/>
    </xf>
    <xf numFmtId="3" fontId="29" fillId="2" borderId="61" xfId="3" applyNumberFormat="1" applyFont="1" applyFill="1" applyBorder="1" applyAlignment="1">
      <alignment horizontal="right" vertical="center"/>
    </xf>
    <xf numFmtId="3" fontId="29" fillId="2" borderId="62" xfId="3" applyNumberFormat="1" applyFont="1" applyFill="1" applyBorder="1" applyAlignment="1">
      <alignment horizontal="right" vertical="center"/>
    </xf>
    <xf numFmtId="3" fontId="29" fillId="2" borderId="63" xfId="3" applyNumberFormat="1" applyFont="1" applyFill="1" applyBorder="1" applyAlignment="1">
      <alignment horizontal="right" vertical="center"/>
    </xf>
    <xf numFmtId="3" fontId="29" fillId="2" borderId="64" xfId="3" applyNumberFormat="1" applyFont="1" applyFill="1" applyBorder="1" applyAlignment="1">
      <alignment horizontal="right" vertical="center"/>
    </xf>
    <xf numFmtId="3" fontId="15" fillId="2" borderId="63" xfId="2" applyNumberFormat="1" applyFont="1" applyFill="1" applyBorder="1" applyAlignment="1"/>
    <xf numFmtId="3" fontId="2" fillId="0" borderId="93" xfId="2" applyNumberFormat="1" applyFont="1" applyFill="1" applyBorder="1" applyAlignment="1">
      <alignment horizontal="right"/>
    </xf>
    <xf numFmtId="3" fontId="2" fillId="0" borderId="95" xfId="2" applyNumberFormat="1" applyFont="1" applyFill="1" applyBorder="1" applyAlignment="1">
      <alignment horizontal="right"/>
    </xf>
    <xf numFmtId="165" fontId="4" fillId="0" borderId="91" xfId="2" applyNumberFormat="1" applyFont="1" applyFill="1" applyBorder="1" applyAlignment="1">
      <alignment horizontal="right" vertical="center"/>
    </xf>
    <xf numFmtId="3" fontId="2" fillId="0" borderId="91" xfId="2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/>
    </xf>
    <xf numFmtId="0" fontId="22" fillId="9" borderId="58" xfId="2" applyFont="1" applyFill="1" applyBorder="1" applyAlignment="1">
      <alignment horizontal="left" vertical="center" wrapText="1"/>
    </xf>
    <xf numFmtId="0" fontId="7" fillId="9" borderId="59" xfId="2" applyFont="1" applyFill="1" applyBorder="1" applyAlignment="1">
      <alignment horizontal="left" vertical="center" wrapText="1"/>
    </xf>
    <xf numFmtId="3" fontId="3" fillId="9" borderId="57" xfId="2" applyNumberFormat="1" applyFont="1" applyFill="1" applyBorder="1" applyAlignment="1">
      <alignment horizontal="right" vertical="center"/>
    </xf>
    <xf numFmtId="3" fontId="3" fillId="9" borderId="58" xfId="2" applyNumberFormat="1" applyFont="1" applyFill="1" applyBorder="1" applyAlignment="1">
      <alignment horizontal="right" vertical="center"/>
    </xf>
    <xf numFmtId="43" fontId="18" fillId="4" borderId="61" xfId="1" applyFont="1" applyFill="1" applyBorder="1" applyAlignment="1">
      <alignment horizontal="right" vertical="center"/>
    </xf>
    <xf numFmtId="43" fontId="18" fillId="4" borderId="62" xfId="1" applyFont="1" applyFill="1" applyBorder="1" applyAlignment="1">
      <alignment horizontal="right" vertical="center"/>
    </xf>
    <xf numFmtId="43" fontId="18" fillId="4" borderId="63" xfId="1" applyFont="1" applyFill="1" applyBorder="1" applyAlignment="1">
      <alignment horizontal="right" vertical="center"/>
    </xf>
    <xf numFmtId="43" fontId="29" fillId="0" borderId="61" xfId="1" applyFont="1" applyFill="1" applyBorder="1" applyAlignment="1">
      <alignment horizontal="right" vertical="center"/>
    </xf>
    <xf numFmtId="43" fontId="29" fillId="0" borderId="62" xfId="1" applyFont="1" applyFill="1" applyBorder="1" applyAlignment="1">
      <alignment horizontal="right" vertical="center"/>
    </xf>
    <xf numFmtId="43" fontId="29" fillId="0" borderId="63" xfId="1" applyFont="1" applyFill="1" applyBorder="1" applyAlignment="1">
      <alignment horizontal="right" vertical="center"/>
    </xf>
    <xf numFmtId="43" fontId="4" fillId="2" borderId="61" xfId="1" applyFont="1" applyFill="1" applyBorder="1" applyAlignment="1">
      <alignment horizontal="right" vertical="center"/>
    </xf>
    <xf numFmtId="3" fontId="15" fillId="2" borderId="62" xfId="2" applyNumberFormat="1" applyFont="1" applyFill="1" applyBorder="1" applyAlignment="1">
      <alignment vertical="center" wrapText="1"/>
    </xf>
    <xf numFmtId="43" fontId="2" fillId="0" borderId="93" xfId="1" applyFont="1" applyFill="1" applyBorder="1" applyAlignment="1">
      <alignment horizontal="right"/>
    </xf>
    <xf numFmtId="43" fontId="2" fillId="0" borderId="94" xfId="1" applyFont="1" applyFill="1" applyBorder="1" applyAlignment="1">
      <alignment horizontal="right"/>
    </xf>
    <xf numFmtId="0" fontId="22" fillId="20" borderId="66" xfId="2" applyFont="1" applyFill="1" applyBorder="1" applyAlignment="1">
      <alignment horizontal="left" vertical="center"/>
    </xf>
    <xf numFmtId="3" fontId="39" fillId="18" borderId="99" xfId="2" applyNumberFormat="1" applyFont="1" applyFill="1" applyBorder="1" applyAlignment="1">
      <alignment vertical="top" wrapText="1"/>
    </xf>
    <xf numFmtId="3" fontId="2" fillId="18" borderId="66" xfId="2" applyNumberFormat="1" applyFont="1" applyFill="1" applyBorder="1" applyAlignment="1">
      <alignment vertical="top" wrapText="1"/>
    </xf>
    <xf numFmtId="0" fontId="39" fillId="18" borderId="66" xfId="2" applyFont="1" applyFill="1" applyBorder="1" applyAlignment="1">
      <alignment vertical="top"/>
    </xf>
    <xf numFmtId="3" fontId="39" fillId="18" borderId="64" xfId="2" applyNumberFormat="1" applyFont="1" applyFill="1" applyBorder="1" applyAlignment="1">
      <alignment horizontal="right" vertical="center"/>
    </xf>
    <xf numFmtId="3" fontId="29" fillId="18" borderId="79" xfId="3" applyNumberFormat="1" applyFont="1" applyFill="1" applyBorder="1" applyAlignment="1">
      <alignment vertical="center"/>
    </xf>
    <xf numFmtId="3" fontId="29" fillId="18" borderId="77" xfId="3" applyNumberFormat="1" applyFont="1" applyFill="1" applyBorder="1" applyAlignment="1">
      <alignment vertical="center"/>
    </xf>
    <xf numFmtId="3" fontId="29" fillId="18" borderId="78" xfId="3" applyNumberFormat="1" applyFont="1" applyFill="1" applyBorder="1" applyAlignment="1">
      <alignment vertical="center"/>
    </xf>
    <xf numFmtId="3" fontId="1" fillId="18" borderId="93" xfId="3" applyNumberFormat="1" applyFont="1" applyFill="1" applyBorder="1" applyAlignment="1">
      <alignment vertical="center"/>
    </xf>
    <xf numFmtId="3" fontId="1" fillId="18" borderId="94" xfId="3" applyNumberFormat="1" applyFont="1" applyFill="1" applyBorder="1" applyAlignment="1">
      <alignment vertical="center"/>
    </xf>
    <xf numFmtId="3" fontId="3" fillId="4" borderId="61" xfId="0" applyNumberFormat="1" applyFont="1" applyFill="1" applyBorder="1" applyAlignment="1">
      <alignment horizontal="right" vertical="center"/>
    </xf>
    <xf numFmtId="3" fontId="3" fillId="4" borderId="62" xfId="0" applyNumberFormat="1" applyFont="1" applyFill="1" applyBorder="1" applyAlignment="1">
      <alignment horizontal="right" vertical="center"/>
    </xf>
    <xf numFmtId="3" fontId="15" fillId="2" borderId="66" xfId="2" applyNumberFormat="1" applyFont="1" applyFill="1" applyBorder="1" applyAlignment="1">
      <alignment vertical="top" wrapText="1"/>
    </xf>
    <xf numFmtId="0" fontId="2" fillId="0" borderId="66" xfId="2" applyFont="1" applyFill="1" applyBorder="1" applyAlignment="1">
      <alignment vertical="top"/>
    </xf>
    <xf numFmtId="0" fontId="15" fillId="2" borderId="66" xfId="2" applyFont="1" applyFill="1" applyBorder="1" applyAlignment="1">
      <alignment vertical="top"/>
    </xf>
    <xf numFmtId="3" fontId="3" fillId="4" borderId="63" xfId="0" applyNumberFormat="1" applyFont="1" applyFill="1" applyBorder="1" applyAlignment="1">
      <alignment horizontal="right" vertical="center"/>
    </xf>
    <xf numFmtId="0" fontId="3" fillId="18" borderId="9" xfId="2" applyFont="1" applyFill="1" applyBorder="1" applyAlignment="1">
      <alignment vertical="center" wrapText="1"/>
    </xf>
    <xf numFmtId="0" fontId="6" fillId="18" borderId="6" xfId="2" applyFont="1" applyFill="1" applyBorder="1" applyAlignment="1">
      <alignment vertical="top" wrapText="1"/>
    </xf>
    <xf numFmtId="3" fontId="2" fillId="18" borderId="7" xfId="2" applyNumberFormat="1" applyFont="1" applyFill="1" applyBorder="1" applyAlignment="1">
      <alignment horizontal="right" vertical="center"/>
    </xf>
    <xf numFmtId="3" fontId="2" fillId="18" borderId="8" xfId="2" applyNumberFormat="1" applyFont="1" applyFill="1" applyBorder="1" applyAlignment="1">
      <alignment horizontal="right" vertical="center"/>
    </xf>
    <xf numFmtId="3" fontId="2" fillId="18" borderId="6" xfId="2" applyNumberFormat="1" applyFont="1" applyFill="1" applyBorder="1" applyAlignment="1">
      <alignment horizontal="right" vertical="center"/>
    </xf>
    <xf numFmtId="3" fontId="2" fillId="18" borderId="10" xfId="2" applyNumberFormat="1" applyFont="1" applyFill="1" applyBorder="1" applyAlignment="1">
      <alignment horizontal="right" vertical="center"/>
    </xf>
    <xf numFmtId="43" fontId="3" fillId="20" borderId="62" xfId="1" applyFont="1" applyFill="1" applyBorder="1" applyAlignment="1">
      <alignment horizontal="right" vertical="center"/>
    </xf>
    <xf numFmtId="43" fontId="3" fillId="20" borderId="64" xfId="1" applyFont="1" applyFill="1" applyBorder="1" applyAlignment="1">
      <alignment horizontal="right" vertical="center"/>
    </xf>
    <xf numFmtId="165" fontId="29" fillId="18" borderId="77" xfId="3" applyNumberFormat="1" applyFont="1" applyFill="1" applyBorder="1" applyAlignment="1">
      <alignment vertical="center"/>
    </xf>
    <xf numFmtId="43" fontId="39" fillId="18" borderId="77" xfId="1" applyFont="1" applyFill="1" applyBorder="1" applyAlignment="1">
      <alignment horizontal="right" vertical="center"/>
    </xf>
    <xf numFmtId="43" fontId="29" fillId="18" borderId="80" xfId="1" applyFont="1" applyFill="1" applyBorder="1" applyAlignment="1">
      <alignment vertical="center"/>
    </xf>
    <xf numFmtId="165" fontId="1" fillId="18" borderId="62" xfId="3" applyNumberFormat="1" applyFont="1" applyFill="1" applyBorder="1" applyAlignment="1">
      <alignment vertical="center"/>
    </xf>
    <xf numFmtId="165" fontId="29" fillId="18" borderId="62" xfId="3" applyNumberFormat="1" applyFont="1" applyFill="1" applyBorder="1" applyAlignment="1">
      <alignment vertical="center"/>
    </xf>
    <xf numFmtId="43" fontId="29" fillId="18" borderId="64" xfId="1" applyFont="1" applyFill="1" applyBorder="1" applyAlignment="1">
      <alignment vertical="center"/>
    </xf>
    <xf numFmtId="0" fontId="2" fillId="18" borderId="66" xfId="2" applyFont="1" applyFill="1" applyBorder="1" applyAlignment="1">
      <alignment vertical="top" wrapText="1"/>
    </xf>
    <xf numFmtId="0" fontId="15" fillId="18" borderId="99" xfId="2" applyFont="1" applyFill="1" applyBorder="1" applyAlignment="1">
      <alignment vertical="top"/>
    </xf>
    <xf numFmtId="165" fontId="29" fillId="18" borderId="80" xfId="3" applyNumberFormat="1" applyFont="1" applyFill="1" applyBorder="1" applyAlignment="1">
      <alignment vertical="center"/>
    </xf>
    <xf numFmtId="3" fontId="29" fillId="18" borderId="80" xfId="3" applyNumberFormat="1" applyFont="1" applyFill="1" applyBorder="1" applyAlignment="1">
      <alignment vertical="center"/>
    </xf>
    <xf numFmtId="0" fontId="2" fillId="18" borderId="118" xfId="2" applyFont="1" applyFill="1" applyBorder="1" applyAlignment="1">
      <alignment vertical="top"/>
    </xf>
    <xf numFmtId="3" fontId="1" fillId="18" borderId="95" xfId="3" applyNumberFormat="1" applyFont="1" applyFill="1" applyBorder="1" applyAlignment="1">
      <alignment vertical="center"/>
    </xf>
    <xf numFmtId="165" fontId="1" fillId="18" borderId="94" xfId="3" applyNumberFormat="1" applyFont="1" applyFill="1" applyBorder="1" applyAlignment="1">
      <alignment vertical="center"/>
    </xf>
    <xf numFmtId="165" fontId="1" fillId="18" borderId="91" xfId="3" applyNumberFormat="1" applyFont="1" applyFill="1" applyBorder="1" applyAlignment="1">
      <alignment vertical="center"/>
    </xf>
    <xf numFmtId="3" fontId="1" fillId="18" borderId="91" xfId="3" applyNumberFormat="1" applyFont="1" applyFill="1" applyBorder="1" applyAlignment="1">
      <alignment vertical="center"/>
    </xf>
    <xf numFmtId="0" fontId="3" fillId="15" borderId="98" xfId="2" applyFont="1" applyFill="1" applyBorder="1" applyAlignment="1">
      <alignment vertical="top" wrapText="1"/>
    </xf>
    <xf numFmtId="0" fontId="22" fillId="4" borderId="66" xfId="2" applyFont="1" applyFill="1" applyBorder="1" applyAlignment="1">
      <alignment horizontal="left" vertical="center"/>
    </xf>
    <xf numFmtId="3" fontId="39" fillId="2" borderId="61" xfId="2" applyNumberFormat="1" applyFont="1" applyFill="1" applyBorder="1" applyAlignment="1"/>
    <xf numFmtId="43" fontId="39" fillId="2" borderId="62" xfId="1" applyFont="1" applyFill="1" applyBorder="1" applyAlignment="1">
      <alignment horizontal="right" vertical="center"/>
    </xf>
    <xf numFmtId="3" fontId="39" fillId="2" borderId="64" xfId="2" applyNumberFormat="1" applyFont="1" applyFill="1" applyBorder="1" applyAlignment="1"/>
    <xf numFmtId="43" fontId="39" fillId="0" borderId="62" xfId="1" applyFont="1" applyFill="1" applyBorder="1" applyAlignment="1">
      <alignment horizontal="right" vertical="center"/>
    </xf>
    <xf numFmtId="3" fontId="39" fillId="0" borderId="61" xfId="2" applyNumberFormat="1" applyFont="1" applyFill="1" applyBorder="1" applyAlignment="1">
      <alignment horizontal="right" vertical="center"/>
    </xf>
    <xf numFmtId="3" fontId="39" fillId="0" borderId="64" xfId="2" applyNumberFormat="1" applyFont="1" applyFill="1" applyBorder="1" applyAlignment="1">
      <alignment horizontal="right" vertical="center"/>
    </xf>
    <xf numFmtId="0" fontId="2" fillId="0" borderId="66" xfId="2" applyFont="1" applyFill="1" applyBorder="1" applyAlignment="1">
      <alignment horizontal="left" vertical="center"/>
    </xf>
    <xf numFmtId="0" fontId="2" fillId="0" borderId="96" xfId="2" applyFont="1" applyFill="1" applyBorder="1" applyAlignment="1">
      <alignment horizontal="left" vertical="center"/>
    </xf>
    <xf numFmtId="3" fontId="2" fillId="2" borderId="68" xfId="2" applyNumberFormat="1" applyFont="1" applyFill="1" applyBorder="1" applyAlignment="1">
      <alignment horizontal="right" vertical="center"/>
    </xf>
    <xf numFmtId="0" fontId="3" fillId="0" borderId="46" xfId="2" applyFont="1" applyFill="1" applyBorder="1" applyAlignment="1">
      <alignment horizontal="center" vertical="center"/>
    </xf>
    <xf numFmtId="0" fontId="40" fillId="0" borderId="14" xfId="2" applyFont="1" applyFill="1" applyBorder="1" applyAlignment="1">
      <alignment vertical="center"/>
    </xf>
    <xf numFmtId="3" fontId="1" fillId="0" borderId="11" xfId="3" applyNumberFormat="1" applyFont="1" applyFill="1" applyBorder="1" applyAlignment="1">
      <alignment vertical="center"/>
    </xf>
    <xf numFmtId="3" fontId="2" fillId="0" borderId="13" xfId="1" applyNumberFormat="1" applyFont="1" applyFill="1" applyBorder="1" applyAlignment="1">
      <alignment horizontal="right" vertical="center"/>
    </xf>
    <xf numFmtId="3" fontId="2" fillId="0" borderId="92" xfId="1" applyNumberFormat="1" applyFont="1" applyFill="1" applyBorder="1" applyAlignment="1">
      <alignment horizontal="right" vertical="center"/>
    </xf>
    <xf numFmtId="3" fontId="2" fillId="0" borderId="11" xfId="1" applyNumberFormat="1" applyFont="1" applyFill="1" applyBorder="1" applyAlignment="1">
      <alignment horizontal="right" vertical="center"/>
    </xf>
    <xf numFmtId="167" fontId="2" fillId="0" borderId="13" xfId="1" applyNumberFormat="1" applyFont="1" applyFill="1" applyBorder="1" applyAlignment="1">
      <alignment horizontal="right"/>
    </xf>
    <xf numFmtId="167" fontId="2" fillId="0" borderId="15" xfId="1" applyNumberFormat="1" applyFont="1" applyFill="1" applyBorder="1" applyAlignment="1">
      <alignment horizontal="right"/>
    </xf>
    <xf numFmtId="3" fontId="2" fillId="0" borderId="15" xfId="1" applyNumberFormat="1" applyFont="1" applyFill="1" applyBorder="1" applyAlignment="1">
      <alignment horizontal="right" vertical="center"/>
    </xf>
    <xf numFmtId="3" fontId="15" fillId="2" borderId="15" xfId="0" quotePrefix="1" applyNumberFormat="1" applyFont="1" applyFill="1" applyBorder="1" applyAlignment="1">
      <alignment vertical="center"/>
    </xf>
    <xf numFmtId="3" fontId="3" fillId="4" borderId="64" xfId="0" applyNumberFormat="1" applyFont="1" applyFill="1" applyBorder="1" applyAlignment="1">
      <alignment horizontal="right" vertical="center"/>
    </xf>
    <xf numFmtId="3" fontId="15" fillId="0" borderId="61" xfId="0" applyNumberFormat="1" applyFont="1" applyFill="1" applyBorder="1" applyAlignment="1">
      <alignment horizontal="right" vertical="center"/>
    </xf>
    <xf numFmtId="3" fontId="39" fillId="0" borderId="64" xfId="0" applyNumberFormat="1" applyFont="1" applyFill="1" applyBorder="1" applyAlignment="1">
      <alignment horizontal="right" vertical="center"/>
    </xf>
    <xf numFmtId="3" fontId="2" fillId="0" borderId="64" xfId="0" applyNumberFormat="1" applyFont="1" applyFill="1" applyBorder="1" applyAlignment="1">
      <alignment horizontal="right" vertical="center"/>
    </xf>
    <xf numFmtId="0" fontId="6" fillId="15" borderId="59" xfId="2" applyFont="1" applyFill="1" applyBorder="1" applyAlignment="1">
      <alignment vertical="center" wrapText="1"/>
    </xf>
    <xf numFmtId="43" fontId="22" fillId="15" borderId="59" xfId="1" applyFont="1" applyFill="1" applyBorder="1" applyAlignment="1">
      <alignment horizontal="right" vertical="center"/>
    </xf>
    <xf numFmtId="3" fontId="1" fillId="0" borderId="72" xfId="3" applyNumberFormat="1" applyFont="1" applyFill="1" applyBorder="1" applyAlignment="1">
      <alignment vertical="center"/>
    </xf>
    <xf numFmtId="3" fontId="1" fillId="0" borderId="70" xfId="3" applyNumberFormat="1" applyFont="1" applyFill="1" applyBorder="1" applyAlignment="1">
      <alignment vertical="center"/>
    </xf>
    <xf numFmtId="0" fontId="1" fillId="0" borderId="0" xfId="0" applyFont="1" applyFill="1" applyBorder="1"/>
    <xf numFmtId="0" fontId="1" fillId="0" borderId="19" xfId="0" applyFont="1" applyFill="1" applyBorder="1"/>
    <xf numFmtId="3" fontId="3" fillId="4" borderId="71" xfId="0" applyNumberFormat="1" applyFont="1" applyFill="1" applyBorder="1" applyAlignment="1">
      <alignment horizontal="right" vertical="center"/>
    </xf>
    <xf numFmtId="3" fontId="15" fillId="0" borderId="71" xfId="0" applyNumberFormat="1" applyFont="1" applyFill="1" applyBorder="1" applyAlignment="1">
      <alignment horizontal="right" vertical="center"/>
    </xf>
    <xf numFmtId="3" fontId="15" fillId="0" borderId="64" xfId="0" applyNumberFormat="1" applyFont="1" applyFill="1" applyBorder="1" applyAlignment="1">
      <alignment horizontal="right" vertical="center"/>
    </xf>
    <xf numFmtId="3" fontId="15" fillId="0" borderId="63" xfId="0" applyNumberFormat="1" applyFont="1" applyFill="1" applyBorder="1" applyAlignment="1">
      <alignment horizontal="right" vertical="center"/>
    </xf>
    <xf numFmtId="3" fontId="15" fillId="0" borderId="62" xfId="0" applyNumberFormat="1" applyFont="1" applyFill="1" applyBorder="1" applyAlignment="1">
      <alignment horizontal="right" vertical="center"/>
    </xf>
    <xf numFmtId="3" fontId="1" fillId="0" borderId="69" xfId="3" applyNumberFormat="1" applyFont="1" applyFill="1" applyBorder="1" applyAlignment="1">
      <alignment vertical="center"/>
    </xf>
    <xf numFmtId="0" fontId="8" fillId="0" borderId="0" xfId="0" applyFont="1" applyAlignment="1">
      <alignment wrapText="1"/>
    </xf>
    <xf numFmtId="0" fontId="41" fillId="0" borderId="0" xfId="0" applyFont="1"/>
    <xf numFmtId="3" fontId="15" fillId="2" borderId="46" xfId="0" quotePrefix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5" fillId="2" borderId="13" xfId="0" quotePrefix="1" applyNumberFormat="1" applyFont="1" applyFill="1" applyBorder="1" applyAlignment="1">
      <alignment vertical="center"/>
    </xf>
    <xf numFmtId="3" fontId="3" fillId="9" borderId="38" xfId="2" applyNumberFormat="1" applyFont="1" applyFill="1" applyBorder="1" applyAlignment="1">
      <alignment horizontal="right" vertical="center"/>
    </xf>
    <xf numFmtId="43" fontId="18" fillId="4" borderId="38" xfId="1" applyFont="1" applyFill="1" applyBorder="1" applyAlignment="1">
      <alignment horizontal="right" vertical="center"/>
    </xf>
    <xf numFmtId="43" fontId="29" fillId="0" borderId="38" xfId="1" applyFont="1" applyFill="1" applyBorder="1" applyAlignment="1">
      <alignment horizontal="right" vertical="center"/>
    </xf>
    <xf numFmtId="43" fontId="4" fillId="0" borderId="38" xfId="1" applyFont="1" applyFill="1" applyBorder="1" applyAlignment="1">
      <alignment horizontal="right" vertical="center"/>
    </xf>
    <xf numFmtId="43" fontId="29" fillId="0" borderId="38" xfId="1" applyFont="1" applyFill="1" applyBorder="1" applyAlignment="1">
      <alignment vertical="center"/>
    </xf>
    <xf numFmtId="43" fontId="3" fillId="4" borderId="38" xfId="1" applyFont="1" applyFill="1" applyBorder="1" applyAlignment="1"/>
    <xf numFmtId="43" fontId="15" fillId="2" borderId="38" xfId="1" applyFont="1" applyFill="1" applyBorder="1" applyAlignment="1"/>
    <xf numFmtId="43" fontId="2" fillId="0" borderId="38" xfId="1" applyFont="1" applyFill="1" applyBorder="1" applyAlignment="1">
      <alignment horizontal="right"/>
    </xf>
    <xf numFmtId="3" fontId="15" fillId="2" borderId="29" xfId="0" quotePrefix="1" applyNumberFormat="1" applyFont="1" applyFill="1" applyBorder="1" applyAlignment="1">
      <alignment vertical="center"/>
    </xf>
    <xf numFmtId="3" fontId="15" fillId="2" borderId="4" xfId="0" quotePrefix="1" applyNumberFormat="1" applyFont="1" applyFill="1" applyBorder="1" applyAlignment="1">
      <alignment vertical="center"/>
    </xf>
    <xf numFmtId="3" fontId="15" fillId="2" borderId="127" xfId="0" quotePrefix="1" applyNumberFormat="1" applyFont="1" applyFill="1" applyBorder="1" applyAlignment="1">
      <alignment vertical="center"/>
    </xf>
    <xf numFmtId="3" fontId="15" fillId="2" borderId="21" xfId="0" quotePrefix="1" applyNumberFormat="1" applyFont="1" applyFill="1" applyBorder="1" applyAlignment="1">
      <alignment vertical="center"/>
    </xf>
    <xf numFmtId="165" fontId="15" fillId="0" borderId="23" xfId="2" applyNumberFormat="1" applyFont="1" applyFill="1" applyBorder="1" applyAlignment="1">
      <alignment horizontal="right" vertical="center"/>
    </xf>
    <xf numFmtId="165" fontId="15" fillId="0" borderId="55" xfId="2" applyNumberFormat="1" applyFont="1" applyFill="1" applyBorder="1" applyAlignment="1">
      <alignment horizontal="right" vertical="center"/>
    </xf>
    <xf numFmtId="3" fontId="15" fillId="2" borderId="12" xfId="0" quotePrefix="1" applyNumberFormat="1" applyFont="1" applyFill="1" applyBorder="1" applyAlignment="1">
      <alignment vertical="center"/>
    </xf>
    <xf numFmtId="3" fontId="15" fillId="2" borderId="92" xfId="0" quotePrefix="1" applyNumberFormat="1" applyFont="1" applyFill="1" applyBorder="1" applyAlignment="1">
      <alignment vertical="center"/>
    </xf>
    <xf numFmtId="165" fontId="15" fillId="0" borderId="13" xfId="2" applyNumberFormat="1" applyFont="1" applyFill="1" applyBorder="1" applyAlignment="1">
      <alignment horizontal="right" vertical="center"/>
    </xf>
    <xf numFmtId="165" fontId="15" fillId="0" borderId="31" xfId="2" applyNumberFormat="1" applyFont="1" applyFill="1" applyBorder="1" applyAlignment="1">
      <alignment horizontal="right" vertical="center"/>
    </xf>
    <xf numFmtId="3" fontId="15" fillId="2" borderId="42" xfId="0" quotePrefix="1" applyNumberFormat="1" applyFont="1" applyFill="1" applyBorder="1" applyAlignment="1">
      <alignment vertical="center"/>
    </xf>
    <xf numFmtId="3" fontId="12" fillId="8" borderId="13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9" fillId="5" borderId="0" xfId="0" applyNumberFormat="1" applyFont="1" applyFill="1" applyBorder="1" applyAlignment="1">
      <alignment vertical="center" wrapText="1"/>
    </xf>
    <xf numFmtId="164" fontId="12" fillId="0" borderId="10" xfId="0" applyNumberFormat="1" applyFont="1" applyFill="1" applyBorder="1" applyAlignment="1">
      <alignment vertical="center" wrapText="1"/>
    </xf>
    <xf numFmtId="0" fontId="11" fillId="0" borderId="19" xfId="2" applyFont="1" applyFill="1" applyBorder="1" applyAlignment="1">
      <alignment horizontal="left" vertical="center"/>
    </xf>
    <xf numFmtId="3" fontId="12" fillId="8" borderId="48" xfId="0" applyNumberFormat="1" applyFont="1" applyFill="1" applyBorder="1" applyAlignment="1">
      <alignment vertical="center" wrapText="1"/>
    </xf>
    <xf numFmtId="3" fontId="4" fillId="0" borderId="92" xfId="0" applyNumberFormat="1" applyFont="1" applyFill="1" applyBorder="1" applyAlignment="1">
      <alignment vertical="center" wrapText="1"/>
    </xf>
    <xf numFmtId="0" fontId="3" fillId="2" borderId="41" xfId="0" applyFont="1" applyFill="1" applyBorder="1" applyAlignment="1">
      <alignment vertical="center" wrapText="1"/>
    </xf>
    <xf numFmtId="3" fontId="15" fillId="6" borderId="30" xfId="0" applyNumberFormat="1" applyFont="1" applyFill="1" applyBorder="1" applyAlignment="1">
      <alignment vertical="center" wrapText="1"/>
    </xf>
    <xf numFmtId="3" fontId="15" fillId="6" borderId="28" xfId="0" applyNumberFormat="1" applyFont="1" applyFill="1" applyBorder="1" applyAlignment="1">
      <alignment vertical="center" wrapText="1"/>
    </xf>
    <xf numFmtId="3" fontId="15" fillId="6" borderId="1" xfId="0" applyNumberFormat="1" applyFont="1" applyFill="1" applyBorder="1" applyAlignment="1">
      <alignment vertical="center" wrapText="1"/>
    </xf>
    <xf numFmtId="3" fontId="15" fillId="6" borderId="89" xfId="0" applyNumberFormat="1" applyFont="1" applyFill="1" applyBorder="1" applyAlignment="1">
      <alignment vertical="center" wrapText="1"/>
    </xf>
    <xf numFmtId="0" fontId="22" fillId="4" borderId="89" xfId="2" applyFont="1" applyFill="1" applyBorder="1" applyAlignment="1">
      <alignment vertical="center"/>
    </xf>
    <xf numFmtId="3" fontId="15" fillId="6" borderId="77" xfId="0" applyNumberFormat="1" applyFont="1" applyFill="1" applyBorder="1" applyAlignment="1">
      <alignment horizontal="right" vertical="center" wrapText="1"/>
    </xf>
    <xf numFmtId="3" fontId="15" fillId="6" borderId="129" xfId="0" applyNumberFormat="1" applyFont="1" applyFill="1" applyBorder="1" applyAlignment="1">
      <alignment horizontal="right" vertical="center" wrapText="1"/>
    </xf>
    <xf numFmtId="3" fontId="15" fillId="6" borderId="78" xfId="0" applyNumberFormat="1" applyFont="1" applyFill="1" applyBorder="1" applyAlignment="1">
      <alignment horizontal="right" vertical="center" wrapText="1"/>
    </xf>
    <xf numFmtId="0" fontId="22" fillId="4" borderId="30" xfId="2" applyFont="1" applyFill="1" applyBorder="1" applyAlignment="1">
      <alignment vertical="center"/>
    </xf>
    <xf numFmtId="3" fontId="22" fillId="4" borderId="82" xfId="0" applyNumberFormat="1" applyFont="1" applyFill="1" applyBorder="1" applyAlignment="1">
      <alignment horizontal="right" vertical="center" wrapText="1"/>
    </xf>
    <xf numFmtId="3" fontId="22" fillId="4" borderId="73" xfId="0" applyNumberFormat="1" applyFont="1" applyFill="1" applyBorder="1" applyAlignment="1">
      <alignment horizontal="right" vertical="center" wrapText="1"/>
    </xf>
    <xf numFmtId="3" fontId="22" fillId="4" borderId="137" xfId="0" applyNumberFormat="1" applyFont="1" applyFill="1" applyBorder="1" applyAlignment="1">
      <alignment horizontal="right" vertical="center" wrapText="1"/>
    </xf>
    <xf numFmtId="3" fontId="22" fillId="4" borderId="136" xfId="0" applyNumberFormat="1" applyFont="1" applyFill="1" applyBorder="1" applyAlignment="1">
      <alignment horizontal="right" vertical="center" wrapText="1"/>
    </xf>
    <xf numFmtId="164" fontId="22" fillId="4" borderId="73" xfId="0" applyNumberFormat="1" applyFont="1" applyFill="1" applyBorder="1" applyAlignment="1">
      <alignment horizontal="right" vertical="center" wrapText="1"/>
    </xf>
    <xf numFmtId="164" fontId="22" fillId="4" borderId="74" xfId="0" applyNumberFormat="1" applyFont="1" applyFill="1" applyBorder="1" applyAlignment="1">
      <alignment horizontal="right" vertical="center" wrapText="1"/>
    </xf>
    <xf numFmtId="3" fontId="22" fillId="4" borderId="74" xfId="0" applyNumberFormat="1" applyFont="1" applyFill="1" applyBorder="1" applyAlignment="1">
      <alignment horizontal="right" vertical="center" wrapText="1"/>
    </xf>
    <xf numFmtId="0" fontId="3" fillId="2" borderId="42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3" fontId="4" fillId="0" borderId="48" xfId="0" applyNumberFormat="1" applyFont="1" applyFill="1" applyBorder="1" applyAlignment="1">
      <alignment vertical="center" wrapText="1"/>
    </xf>
    <xf numFmtId="3" fontId="4" fillId="2" borderId="13" xfId="0" applyNumberFormat="1" applyFont="1" applyFill="1" applyBorder="1" applyAlignment="1">
      <alignment vertical="center" wrapText="1"/>
    </xf>
    <xf numFmtId="3" fontId="4" fillId="2" borderId="12" xfId="0" applyNumberFormat="1" applyFont="1" applyFill="1" applyBorder="1" applyAlignment="1">
      <alignment vertical="center" wrapText="1"/>
    </xf>
    <xf numFmtId="3" fontId="4" fillId="2" borderId="38" xfId="0" applyNumberFormat="1" applyFont="1" applyFill="1" applyBorder="1" applyAlignment="1">
      <alignment vertical="center" wrapText="1"/>
    </xf>
    <xf numFmtId="165" fontId="4" fillId="0" borderId="38" xfId="0" applyNumberFormat="1" applyFont="1" applyFill="1" applyBorder="1" applyAlignment="1">
      <alignment vertical="center" wrapText="1"/>
    </xf>
    <xf numFmtId="165" fontId="4" fillId="0" borderId="49" xfId="0" applyNumberFormat="1" applyFont="1" applyFill="1" applyBorder="1" applyAlignment="1">
      <alignment vertical="center" wrapText="1"/>
    </xf>
    <xf numFmtId="3" fontId="4" fillId="0" borderId="97" xfId="0" applyNumberFormat="1" applyFont="1" applyFill="1" applyBorder="1" applyAlignment="1">
      <alignment vertical="center" wrapText="1"/>
    </xf>
    <xf numFmtId="0" fontId="15" fillId="0" borderId="29" xfId="0" applyFont="1" applyBorder="1" applyAlignment="1">
      <alignment horizontal="left" vertical="top"/>
    </xf>
    <xf numFmtId="3" fontId="15" fillId="2" borderId="55" xfId="0" quotePrefix="1" applyNumberFormat="1" applyFont="1" applyFill="1" applyBorder="1" applyAlignment="1">
      <alignment vertical="center"/>
    </xf>
    <xf numFmtId="3" fontId="4" fillId="0" borderId="142" xfId="0" applyNumberFormat="1" applyFont="1" applyFill="1" applyBorder="1" applyAlignment="1">
      <alignment vertical="center" wrapText="1"/>
    </xf>
    <xf numFmtId="3" fontId="15" fillId="6" borderId="77" xfId="0" applyNumberFormat="1" applyFont="1" applyFill="1" applyBorder="1" applyAlignment="1">
      <alignment vertical="center" wrapText="1"/>
    </xf>
    <xf numFmtId="3" fontId="15" fillId="6" borderId="129" xfId="0" applyNumberFormat="1" applyFont="1" applyFill="1" applyBorder="1" applyAlignment="1">
      <alignment vertical="center" wrapText="1"/>
    </xf>
    <xf numFmtId="3" fontId="15" fillId="6" borderId="78" xfId="0" applyNumberFormat="1" applyFont="1" applyFill="1" applyBorder="1" applyAlignment="1">
      <alignment vertical="center" wrapText="1"/>
    </xf>
    <xf numFmtId="0" fontId="4" fillId="0" borderId="46" xfId="0" applyFont="1" applyFill="1" applyBorder="1" applyAlignment="1">
      <alignment vertical="center" wrapText="1"/>
    </xf>
    <xf numFmtId="3" fontId="4" fillId="0" borderId="46" xfId="0" applyNumberFormat="1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vertical="center" wrapText="1"/>
    </xf>
    <xf numFmtId="3" fontId="4" fillId="0" borderId="11" xfId="0" applyNumberFormat="1" applyFont="1" applyFill="1" applyBorder="1" applyAlignment="1">
      <alignment vertical="center" wrapText="1"/>
    </xf>
    <xf numFmtId="165" fontId="4" fillId="0" borderId="13" xfId="0" applyNumberFormat="1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vertical="center" wrapText="1"/>
    </xf>
    <xf numFmtId="3" fontId="2" fillId="0" borderId="73" xfId="0" applyNumberFormat="1" applyFont="1" applyFill="1" applyBorder="1" applyAlignment="1">
      <alignment vertical="center" wrapText="1"/>
    </xf>
    <xf numFmtId="3" fontId="2" fillId="0" borderId="137" xfId="0" applyNumberFormat="1" applyFont="1" applyFill="1" applyBorder="1" applyAlignment="1">
      <alignment vertical="center" wrapText="1"/>
    </xf>
    <xf numFmtId="43" fontId="2" fillId="0" borderId="76" xfId="1" applyFont="1" applyFill="1" applyBorder="1" applyAlignment="1">
      <alignment vertical="center" wrapText="1"/>
    </xf>
    <xf numFmtId="3" fontId="2" fillId="0" borderId="136" xfId="0" applyNumberFormat="1" applyFont="1" applyFill="1" applyBorder="1" applyAlignment="1">
      <alignment vertical="center" wrapText="1"/>
    </xf>
    <xf numFmtId="3" fontId="4" fillId="0" borderId="22" xfId="0" applyNumberFormat="1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9" fillId="0" borderId="28" xfId="0" quotePrefix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9" fillId="0" borderId="28" xfId="0" quotePrefix="1" applyFont="1" applyFill="1" applyBorder="1" applyAlignment="1">
      <alignment horizontal="center"/>
    </xf>
    <xf numFmtId="0" fontId="9" fillId="0" borderId="89" xfId="0" quotePrefix="1" applyFont="1" applyBorder="1" applyAlignment="1">
      <alignment horizontal="center"/>
    </xf>
    <xf numFmtId="0" fontId="9" fillId="2" borderId="26" xfId="0" quotePrefix="1" applyFont="1" applyFill="1" applyBorder="1" applyAlignment="1">
      <alignment horizontal="center"/>
    </xf>
    <xf numFmtId="0" fontId="9" fillId="2" borderId="28" xfId="0" quotePrefix="1" applyFont="1" applyFill="1" applyBorder="1" applyAlignment="1">
      <alignment horizontal="center"/>
    </xf>
    <xf numFmtId="0" fontId="9" fillId="2" borderId="56" xfId="0" quotePrefix="1" applyFont="1" applyFill="1" applyBorder="1" applyAlignment="1">
      <alignment horizontal="center"/>
    </xf>
    <xf numFmtId="0" fontId="25" fillId="2" borderId="89" xfId="0" quotePrefix="1" applyFont="1" applyFill="1" applyBorder="1" applyAlignment="1">
      <alignment horizontal="center"/>
    </xf>
    <xf numFmtId="3" fontId="15" fillId="2" borderId="144" xfId="0" quotePrefix="1" applyNumberFormat="1" applyFont="1" applyFill="1" applyBorder="1" applyAlignment="1">
      <alignment vertical="center"/>
    </xf>
    <xf numFmtId="3" fontId="15" fillId="2" borderId="145" xfId="0" quotePrefix="1" applyNumberFormat="1" applyFont="1" applyFill="1" applyBorder="1" applyAlignment="1">
      <alignment vertical="center"/>
    </xf>
    <xf numFmtId="3" fontId="15" fillId="2" borderId="146" xfId="0" quotePrefix="1" applyNumberFormat="1" applyFont="1" applyFill="1" applyBorder="1" applyAlignment="1">
      <alignment vertical="center"/>
    </xf>
    <xf numFmtId="3" fontId="15" fillId="2" borderId="147" xfId="0" quotePrefix="1" applyNumberFormat="1" applyFont="1" applyFill="1" applyBorder="1" applyAlignment="1">
      <alignment vertical="center"/>
    </xf>
    <xf numFmtId="165" fontId="15" fillId="0" borderId="148" xfId="2" applyNumberFormat="1" applyFont="1" applyFill="1" applyBorder="1" applyAlignment="1">
      <alignment horizontal="right" vertical="center"/>
    </xf>
    <xf numFmtId="3" fontId="15" fillId="2" borderId="148" xfId="0" quotePrefix="1" applyNumberFormat="1" applyFont="1" applyFill="1" applyBorder="1" applyAlignment="1">
      <alignment vertical="center"/>
    </xf>
    <xf numFmtId="165" fontId="15" fillId="0" borderId="149" xfId="2" applyNumberFormat="1" applyFont="1" applyFill="1" applyBorder="1" applyAlignment="1">
      <alignment horizontal="right" vertical="center"/>
    </xf>
    <xf numFmtId="3" fontId="15" fillId="2" borderId="149" xfId="0" quotePrefix="1" applyNumberFormat="1" applyFont="1" applyFill="1" applyBorder="1" applyAlignment="1">
      <alignment vertical="center"/>
    </xf>
    <xf numFmtId="0" fontId="9" fillId="0" borderId="4" xfId="0" quotePrefix="1" applyFont="1" applyBorder="1" applyAlignment="1">
      <alignment horizontal="center"/>
    </xf>
    <xf numFmtId="0" fontId="9" fillId="0" borderId="24" xfId="0" quotePrefix="1" applyFont="1" applyBorder="1" applyAlignment="1">
      <alignment horizontal="center"/>
    </xf>
    <xf numFmtId="0" fontId="9" fillId="0" borderId="4" xfId="0" quotePrefix="1" applyFont="1" applyFill="1" applyBorder="1" applyAlignment="1">
      <alignment horizontal="center"/>
    </xf>
    <xf numFmtId="0" fontId="9" fillId="0" borderId="127" xfId="0" quotePrefix="1" applyFont="1" applyBorder="1" applyAlignment="1">
      <alignment horizontal="center"/>
    </xf>
    <xf numFmtId="0" fontId="9" fillId="2" borderId="21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55" xfId="0" quotePrefix="1" applyFont="1" applyFill="1" applyBorder="1" applyAlignment="1">
      <alignment horizontal="center"/>
    </xf>
    <xf numFmtId="0" fontId="25" fillId="2" borderId="127" xfId="0" quotePrefix="1" applyFont="1" applyFill="1" applyBorder="1" applyAlignment="1">
      <alignment horizontal="center"/>
    </xf>
    <xf numFmtId="3" fontId="15" fillId="2" borderId="98" xfId="0" quotePrefix="1" applyNumberFormat="1" applyFont="1" applyFill="1" applyBorder="1" applyAlignment="1">
      <alignment vertical="center"/>
    </xf>
    <xf numFmtId="3" fontId="12" fillId="8" borderId="49" xfId="0" applyNumberFormat="1" applyFont="1" applyFill="1" applyBorder="1" applyAlignment="1">
      <alignment vertical="center" wrapText="1"/>
    </xf>
    <xf numFmtId="3" fontId="12" fillId="8" borderId="97" xfId="0" applyNumberFormat="1" applyFont="1" applyFill="1" applyBorder="1" applyAlignment="1">
      <alignment vertical="center" wrapText="1"/>
    </xf>
    <xf numFmtId="3" fontId="22" fillId="4" borderId="22" xfId="0" applyNumberFormat="1" applyFont="1" applyFill="1" applyBorder="1" applyAlignment="1">
      <alignment vertical="center" wrapText="1"/>
    </xf>
    <xf numFmtId="3" fontId="15" fillId="6" borderId="22" xfId="0" applyNumberFormat="1" applyFont="1" applyFill="1" applyBorder="1" applyAlignment="1">
      <alignment vertical="center" wrapText="1"/>
    </xf>
    <xf numFmtId="0" fontId="9" fillId="0" borderId="30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5" fillId="0" borderId="31" xfId="2" applyFont="1" applyFill="1" applyBorder="1" applyAlignment="1">
      <alignment horizontal="center" vertical="center" wrapText="1"/>
    </xf>
    <xf numFmtId="3" fontId="15" fillId="6" borderId="23" xfId="0" applyNumberFormat="1" applyFont="1" applyFill="1" applyBorder="1" applyAlignment="1">
      <alignment vertical="center" wrapText="1"/>
    </xf>
    <xf numFmtId="43" fontId="4" fillId="0" borderId="21" xfId="1" applyFont="1" applyFill="1" applyBorder="1" applyAlignment="1">
      <alignment vertical="center" wrapText="1"/>
    </xf>
    <xf numFmtId="3" fontId="4" fillId="2" borderId="21" xfId="0" applyNumberFormat="1" applyFont="1" applyFill="1" applyBorder="1" applyAlignment="1">
      <alignment vertical="center" wrapText="1"/>
    </xf>
    <xf numFmtId="0" fontId="15" fillId="6" borderId="47" xfId="2" applyFont="1" applyFill="1" applyBorder="1" applyAlignment="1">
      <alignment vertical="center" wrapText="1"/>
    </xf>
    <xf numFmtId="0" fontId="2" fillId="0" borderId="142" xfId="0" applyFont="1" applyFill="1" applyBorder="1" applyAlignment="1">
      <alignment vertical="center" wrapText="1"/>
    </xf>
    <xf numFmtId="3" fontId="15" fillId="6" borderId="47" xfId="0" applyNumberFormat="1" applyFont="1" applyFill="1" applyBorder="1" applyAlignment="1">
      <alignment vertical="center" wrapText="1"/>
    </xf>
    <xf numFmtId="43" fontId="2" fillId="0" borderId="21" xfId="1" applyFont="1" applyFill="1" applyBorder="1" applyAlignment="1">
      <alignment vertical="center" wrapText="1"/>
    </xf>
    <xf numFmtId="3" fontId="15" fillId="6" borderId="8" xfId="0" applyNumberFormat="1" applyFont="1" applyFill="1" applyBorder="1" applyAlignment="1">
      <alignment vertical="center" wrapText="1"/>
    </xf>
    <xf numFmtId="3" fontId="15" fillId="6" borderId="0" xfId="0" applyNumberFormat="1" applyFont="1" applyFill="1" applyBorder="1" applyAlignment="1">
      <alignment vertical="center" wrapText="1"/>
    </xf>
    <xf numFmtId="3" fontId="15" fillId="6" borderId="7" xfId="0" applyNumberFormat="1" applyFont="1" applyFill="1" applyBorder="1" applyAlignment="1">
      <alignment vertical="center" wrapText="1"/>
    </xf>
    <xf numFmtId="164" fontId="15" fillId="6" borderId="8" xfId="0" applyNumberFormat="1" applyFont="1" applyFill="1" applyBorder="1" applyAlignment="1">
      <alignment horizontal="right" vertical="center" wrapText="1"/>
    </xf>
    <xf numFmtId="3" fontId="15" fillId="6" borderId="5" xfId="0" applyNumberFormat="1" applyFont="1" applyFill="1" applyBorder="1" applyAlignment="1">
      <alignment vertical="center" wrapText="1"/>
    </xf>
    <xf numFmtId="43" fontId="2" fillId="0" borderId="56" xfId="1" applyFont="1" applyFill="1" applyBorder="1" applyAlignment="1">
      <alignment vertical="center" wrapText="1"/>
    </xf>
    <xf numFmtId="0" fontId="4" fillId="0" borderId="142" xfId="0" applyFont="1" applyFill="1" applyBorder="1" applyAlignment="1">
      <alignment vertical="center"/>
    </xf>
    <xf numFmtId="0" fontId="4" fillId="0" borderId="142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4" fillId="0" borderId="47" xfId="0" applyNumberFormat="1" applyFont="1" applyFill="1" applyBorder="1" applyAlignment="1">
      <alignment vertical="center" wrapText="1"/>
    </xf>
    <xf numFmtId="3" fontId="4" fillId="0" borderId="8" xfId="0" applyNumberFormat="1" applyFont="1" applyFill="1" applyBorder="1" applyAlignment="1">
      <alignment vertical="center" wrapText="1"/>
    </xf>
    <xf numFmtId="3" fontId="4" fillId="0" borderId="55" xfId="0" applyNumberFormat="1" applyFont="1" applyFill="1" applyBorder="1" applyAlignment="1">
      <alignment vertical="center" wrapText="1"/>
    </xf>
    <xf numFmtId="3" fontId="4" fillId="0" borderId="88" xfId="0" applyNumberFormat="1" applyFont="1" applyFill="1" applyBorder="1" applyAlignment="1">
      <alignment vertical="center" wrapText="1"/>
    </xf>
    <xf numFmtId="0" fontId="4" fillId="0" borderId="151" xfId="0" applyFont="1" applyFill="1" applyBorder="1" applyAlignment="1">
      <alignment vertical="center" wrapText="1"/>
    </xf>
    <xf numFmtId="0" fontId="15" fillId="6" borderId="142" xfId="2" applyFont="1" applyFill="1" applyBorder="1" applyAlignment="1">
      <alignment vertical="center" wrapText="1"/>
    </xf>
    <xf numFmtId="3" fontId="15" fillId="6" borderId="26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165" fontId="22" fillId="4" borderId="28" xfId="0" applyNumberFormat="1" applyFont="1" applyFill="1" applyBorder="1" applyAlignment="1">
      <alignment horizontal="right" vertical="center" wrapText="1"/>
    </xf>
    <xf numFmtId="3" fontId="22" fillId="4" borderId="28" xfId="0" applyNumberFormat="1" applyFont="1" applyFill="1" applyBorder="1" applyAlignment="1">
      <alignment vertical="center" wrapText="1"/>
    </xf>
    <xf numFmtId="165" fontId="22" fillId="4" borderId="56" xfId="0" applyNumberFormat="1" applyFont="1" applyFill="1" applyBorder="1" applyAlignment="1">
      <alignment horizontal="right" vertical="center" wrapText="1"/>
    </xf>
    <xf numFmtId="3" fontId="15" fillId="6" borderId="21" xfId="0" applyNumberFormat="1" applyFont="1" applyFill="1" applyBorder="1" applyAlignment="1">
      <alignment horizontal="right" vertical="center" wrapText="1"/>
    </xf>
    <xf numFmtId="3" fontId="4" fillId="0" borderId="56" xfId="0" applyNumberFormat="1" applyFont="1" applyFill="1" applyBorder="1" applyAlignment="1">
      <alignment vertical="center" wrapText="1"/>
    </xf>
    <xf numFmtId="3" fontId="15" fillId="6" borderId="55" xfId="0" applyNumberFormat="1" applyFont="1" applyFill="1" applyBorder="1" applyAlignment="1">
      <alignment horizontal="right" vertical="center" wrapText="1"/>
    </xf>
    <xf numFmtId="3" fontId="15" fillId="6" borderId="8" xfId="0" applyNumberFormat="1" applyFont="1" applyFill="1" applyBorder="1" applyAlignment="1">
      <alignment horizontal="right" vertical="center" wrapText="1"/>
    </xf>
    <xf numFmtId="0" fontId="15" fillId="6" borderId="47" xfId="2" applyFont="1" applyFill="1" applyBorder="1" applyAlignment="1">
      <alignment vertical="center"/>
    </xf>
    <xf numFmtId="164" fontId="15" fillId="6" borderId="6" xfId="0" applyNumberFormat="1" applyFont="1" applyFill="1" applyBorder="1" applyAlignment="1">
      <alignment horizontal="right" vertical="center" wrapText="1"/>
    </xf>
    <xf numFmtId="165" fontId="4" fillId="0" borderId="8" xfId="0" applyNumberFormat="1" applyFont="1" applyFill="1" applyBorder="1" applyAlignment="1">
      <alignment vertical="center" wrapText="1"/>
    </xf>
    <xf numFmtId="165" fontId="4" fillId="0" borderId="5" xfId="0" applyNumberFormat="1" applyFont="1" applyFill="1" applyBorder="1" applyAlignment="1">
      <alignment vertical="center" wrapText="1"/>
    </xf>
    <xf numFmtId="165" fontId="15" fillId="6" borderId="8" xfId="0" applyNumberFormat="1" applyFont="1" applyFill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vertical="center" wrapText="1"/>
    </xf>
    <xf numFmtId="165" fontId="4" fillId="0" borderId="6" xfId="0" applyNumberFormat="1" applyFont="1" applyFill="1" applyBorder="1" applyAlignment="1">
      <alignment vertical="center" wrapText="1"/>
    </xf>
    <xf numFmtId="43" fontId="4" fillId="0" borderId="6" xfId="1" applyFont="1" applyFill="1" applyBorder="1" applyAlignment="1">
      <alignment vertical="center" wrapText="1"/>
    </xf>
    <xf numFmtId="165" fontId="15" fillId="6" borderId="55" xfId="0" applyNumberFormat="1" applyFont="1" applyFill="1" applyBorder="1" applyAlignment="1">
      <alignment horizontal="right" vertical="center" wrapText="1"/>
    </xf>
    <xf numFmtId="43" fontId="2" fillId="17" borderId="2" xfId="1" applyFont="1" applyFill="1" applyBorder="1" applyAlignment="1">
      <alignment vertical="center" wrapText="1"/>
    </xf>
    <xf numFmtId="43" fontId="2" fillId="0" borderId="49" xfId="1" applyFont="1" applyFill="1" applyBorder="1" applyAlignment="1">
      <alignment vertical="center" wrapText="1"/>
    </xf>
    <xf numFmtId="43" fontId="4" fillId="0" borderId="23" xfId="1" applyFont="1" applyFill="1" applyBorder="1" applyAlignment="1">
      <alignment vertical="center" wrapText="1"/>
    </xf>
    <xf numFmtId="0" fontId="2" fillId="0" borderId="47" xfId="0" applyFont="1" applyBorder="1"/>
    <xf numFmtId="3" fontId="12" fillId="7" borderId="97" xfId="0" applyNumberFormat="1" applyFont="1" applyFill="1" applyBorder="1" applyAlignment="1">
      <alignment vertical="center" wrapText="1"/>
    </xf>
    <xf numFmtId="165" fontId="4" fillId="0" borderId="105" xfId="0" applyNumberFormat="1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43" fontId="2" fillId="0" borderId="127" xfId="1" applyFont="1" applyFill="1" applyBorder="1" applyAlignment="1">
      <alignment vertical="center" wrapText="1"/>
    </xf>
    <xf numFmtId="43" fontId="2" fillId="0" borderId="73" xfId="1" applyFont="1" applyFill="1" applyBorder="1" applyAlignment="1">
      <alignment vertical="center" wrapText="1"/>
    </xf>
    <xf numFmtId="43" fontId="2" fillId="17" borderId="127" xfId="1" applyFont="1" applyFill="1" applyBorder="1" applyAlignment="1">
      <alignment vertical="center" wrapText="1"/>
    </xf>
    <xf numFmtId="3" fontId="9" fillId="0" borderId="35" xfId="0" applyNumberFormat="1" applyFont="1" applyFill="1" applyBorder="1" applyAlignment="1">
      <alignment vertical="center" wrapText="1"/>
    </xf>
    <xf numFmtId="3" fontId="25" fillId="0" borderId="37" xfId="0" applyNumberFormat="1" applyFont="1" applyFill="1" applyBorder="1" applyAlignment="1">
      <alignment vertical="center" wrapText="1"/>
    </xf>
    <xf numFmtId="0" fontId="12" fillId="2" borderId="107" xfId="2" applyFont="1" applyFill="1" applyBorder="1" applyAlignment="1">
      <alignment vertical="center" wrapText="1"/>
    </xf>
    <xf numFmtId="0" fontId="22" fillId="0" borderId="22" xfId="2" applyFont="1" applyFill="1" applyBorder="1" applyAlignment="1">
      <alignment vertical="center" wrapText="1"/>
    </xf>
    <xf numFmtId="0" fontId="25" fillId="2" borderId="49" xfId="0" quotePrefix="1" applyFont="1" applyFill="1" applyBorder="1" applyAlignment="1">
      <alignment horizontal="center" vertical="top"/>
    </xf>
    <xf numFmtId="0" fontId="25" fillId="2" borderId="48" xfId="0" quotePrefix="1" applyFont="1" applyFill="1" applyBorder="1" applyAlignment="1">
      <alignment horizontal="center" vertical="top"/>
    </xf>
    <xf numFmtId="0" fontId="25" fillId="2" borderId="38" xfId="0" quotePrefix="1" applyFont="1" applyFill="1" applyBorder="1" applyAlignment="1">
      <alignment horizontal="center" vertical="top"/>
    </xf>
    <xf numFmtId="0" fontId="25" fillId="2" borderId="36" xfId="0" quotePrefix="1" applyFont="1" applyFill="1" applyBorder="1" applyAlignment="1">
      <alignment horizontal="center" vertical="top"/>
    </xf>
    <xf numFmtId="0" fontId="25" fillId="2" borderId="49" xfId="0" quotePrefix="1" applyFont="1" applyFill="1" applyBorder="1" applyAlignment="1">
      <alignment horizontal="center" vertical="top" wrapText="1"/>
    </xf>
    <xf numFmtId="0" fontId="43" fillId="2" borderId="0" xfId="0" applyFont="1" applyFill="1"/>
    <xf numFmtId="0" fontId="4" fillId="0" borderId="17" xfId="0" applyFont="1" applyBorder="1" applyAlignment="1">
      <alignment vertical="top"/>
    </xf>
    <xf numFmtId="0" fontId="15" fillId="0" borderId="108" xfId="0" applyFont="1" applyBorder="1" applyAlignment="1">
      <alignment horizontal="left" vertical="center"/>
    </xf>
    <xf numFmtId="0" fontId="32" fillId="0" borderId="109" xfId="0" quotePrefix="1" applyFont="1" applyBorder="1" applyAlignment="1">
      <alignment horizontal="center" vertical="center"/>
    </xf>
    <xf numFmtId="3" fontId="15" fillId="2" borderId="110" xfId="0" quotePrefix="1" applyNumberFormat="1" applyFont="1" applyFill="1" applyBorder="1" applyAlignment="1">
      <alignment vertical="center"/>
    </xf>
    <xf numFmtId="3" fontId="15" fillId="2" borderId="108" xfId="0" quotePrefix="1" applyNumberFormat="1" applyFont="1" applyFill="1" applyBorder="1" applyAlignment="1">
      <alignment vertical="center"/>
    </xf>
    <xf numFmtId="3" fontId="15" fillId="16" borderId="114" xfId="0" quotePrefix="1" applyNumberFormat="1" applyFont="1" applyFill="1" applyBorder="1" applyAlignment="1">
      <alignment vertical="center"/>
    </xf>
    <xf numFmtId="3" fontId="15" fillId="2" borderId="114" xfId="0" quotePrefix="1" applyNumberFormat="1" applyFont="1" applyFill="1" applyBorder="1" applyAlignment="1">
      <alignment vertical="center"/>
    </xf>
    <xf numFmtId="3" fontId="15" fillId="2" borderId="109" xfId="0" quotePrefix="1" applyNumberFormat="1" applyFont="1" applyFill="1" applyBorder="1" applyAlignment="1">
      <alignment vertical="center"/>
    </xf>
    <xf numFmtId="165" fontId="15" fillId="0" borderId="108" xfId="2" applyNumberFormat="1" applyFont="1" applyFill="1" applyBorder="1" applyAlignment="1">
      <alignment horizontal="right" vertical="center"/>
    </xf>
    <xf numFmtId="165" fontId="15" fillId="0" borderId="114" xfId="2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wrapText="1"/>
    </xf>
    <xf numFmtId="0" fontId="16" fillId="0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4" fillId="0" borderId="7" xfId="0" applyFont="1" applyBorder="1" applyAlignment="1">
      <alignment vertical="center"/>
    </xf>
    <xf numFmtId="0" fontId="15" fillId="0" borderId="111" xfId="0" applyFont="1" applyBorder="1" applyAlignment="1">
      <alignment horizontal="left" vertical="center"/>
    </xf>
    <xf numFmtId="0" fontId="27" fillId="0" borderId="112" xfId="0" quotePrefix="1" applyFont="1" applyBorder="1" applyAlignment="1">
      <alignment horizontal="center" vertical="center"/>
    </xf>
    <xf numFmtId="3" fontId="15" fillId="2" borderId="121" xfId="0" quotePrefix="1" applyNumberFormat="1" applyFont="1" applyFill="1" applyBorder="1" applyAlignment="1">
      <alignment vertical="center"/>
    </xf>
    <xf numFmtId="43" fontId="15" fillId="0" borderId="115" xfId="1" applyFont="1" applyFill="1" applyBorder="1" applyAlignment="1">
      <alignment horizontal="right" vertical="center"/>
    </xf>
    <xf numFmtId="3" fontId="15" fillId="2" borderId="115" xfId="0" quotePrefix="1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16" fillId="2" borderId="0" xfId="0" quotePrefix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4" fillId="0" borderId="7" xfId="0" applyFont="1" applyBorder="1" applyAlignment="1">
      <alignment vertical="top"/>
    </xf>
    <xf numFmtId="0" fontId="15" fillId="0" borderId="28" xfId="0" applyFont="1" applyBorder="1" applyAlignment="1">
      <alignment horizontal="left" vertical="top"/>
    </xf>
    <xf numFmtId="0" fontId="27" fillId="0" borderId="56" xfId="0" quotePrefix="1" applyFont="1" applyBorder="1" applyAlignment="1">
      <alignment horizontal="center" vertical="top"/>
    </xf>
    <xf numFmtId="3" fontId="15" fillId="2" borderId="126" xfId="0" quotePrefix="1" applyNumberFormat="1" applyFont="1" applyFill="1" applyBorder="1" applyAlignment="1">
      <alignment vertical="top"/>
    </xf>
    <xf numFmtId="3" fontId="15" fillId="2" borderId="33" xfId="0" quotePrefix="1" applyNumberFormat="1" applyFont="1" applyFill="1" applyBorder="1" applyAlignment="1">
      <alignment vertical="top"/>
    </xf>
    <xf numFmtId="3" fontId="15" fillId="2" borderId="133" xfId="0" quotePrefix="1" applyNumberFormat="1" applyFont="1" applyFill="1" applyBorder="1" applyAlignment="1">
      <alignment vertical="top"/>
    </xf>
    <xf numFmtId="165" fontId="15" fillId="0" borderId="106" xfId="2" applyNumberFormat="1" applyFont="1" applyFill="1" applyBorder="1" applyAlignment="1">
      <alignment horizontal="right" vertical="center"/>
    </xf>
    <xf numFmtId="3" fontId="15" fillId="2" borderId="27" xfId="0" quotePrefix="1" applyNumberFormat="1" applyFont="1" applyFill="1" applyBorder="1" applyAlignment="1">
      <alignment vertical="top"/>
    </xf>
    <xf numFmtId="0" fontId="16" fillId="2" borderId="0" xfId="0" quotePrefix="1" applyFont="1" applyFill="1" applyBorder="1" applyAlignment="1">
      <alignment horizontal="center" vertical="top"/>
    </xf>
    <xf numFmtId="0" fontId="22" fillId="4" borderId="58" xfId="2" applyFont="1" applyFill="1" applyBorder="1" applyAlignment="1">
      <alignment horizontal="left" vertical="center"/>
    </xf>
    <xf numFmtId="0" fontId="7" fillId="4" borderId="59" xfId="2" applyFont="1" applyFill="1" applyBorder="1" applyAlignment="1">
      <alignment horizontal="left" vertical="center"/>
    </xf>
    <xf numFmtId="3" fontId="22" fillId="4" borderId="101" xfId="2" applyNumberFormat="1" applyFont="1" applyFill="1" applyBorder="1" applyAlignment="1">
      <alignment vertical="top"/>
    </xf>
    <xf numFmtId="3" fontId="22" fillId="4" borderId="60" xfId="2" applyNumberFormat="1" applyFont="1" applyFill="1" applyBorder="1" applyAlignment="1">
      <alignment vertical="top"/>
    </xf>
    <xf numFmtId="3" fontId="22" fillId="4" borderId="59" xfId="2" applyNumberFormat="1" applyFont="1" applyFill="1" applyBorder="1" applyAlignment="1">
      <alignment vertical="top"/>
    </xf>
    <xf numFmtId="3" fontId="3" fillId="4" borderId="58" xfId="2" applyNumberFormat="1" applyFont="1" applyFill="1" applyBorder="1" applyAlignment="1">
      <alignment vertical="top"/>
    </xf>
    <xf numFmtId="165" fontId="3" fillId="4" borderId="58" xfId="2" applyNumberFormat="1" applyFont="1" applyFill="1" applyBorder="1" applyAlignment="1">
      <alignment vertical="top"/>
    </xf>
    <xf numFmtId="165" fontId="3" fillId="4" borderId="60" xfId="2" applyNumberFormat="1" applyFont="1" applyFill="1" applyBorder="1" applyAlignment="1">
      <alignment vertical="top"/>
    </xf>
    <xf numFmtId="3" fontId="3" fillId="4" borderId="60" xfId="2" applyNumberFormat="1" applyFont="1" applyFill="1" applyBorder="1" applyAlignment="1">
      <alignment vertical="top"/>
    </xf>
    <xf numFmtId="166" fontId="1" fillId="0" borderId="0" xfId="0" applyNumberFormat="1" applyFont="1" applyAlignment="1">
      <alignment horizontal="center"/>
    </xf>
    <xf numFmtId="0" fontId="39" fillId="6" borderId="62" xfId="2" applyFont="1" applyFill="1" applyBorder="1" applyAlignment="1">
      <alignment vertical="top"/>
    </xf>
    <xf numFmtId="3" fontId="15" fillId="6" borderId="71" xfId="2" applyNumberFormat="1" applyFont="1" applyFill="1" applyBorder="1" applyAlignment="1">
      <alignment vertical="top"/>
    </xf>
    <xf numFmtId="3" fontId="15" fillId="6" borderId="64" xfId="2" applyNumberFormat="1" applyFont="1" applyFill="1" applyBorder="1" applyAlignment="1">
      <alignment vertical="top"/>
    </xf>
    <xf numFmtId="3" fontId="15" fillId="6" borderId="63" xfId="2" applyNumberFormat="1" applyFont="1" applyFill="1" applyBorder="1" applyAlignment="1">
      <alignment vertical="top"/>
    </xf>
    <xf numFmtId="3" fontId="39" fillId="6" borderId="62" xfId="2" applyNumberFormat="1" applyFont="1" applyFill="1" applyBorder="1" applyAlignment="1">
      <alignment vertical="top"/>
    </xf>
    <xf numFmtId="165" fontId="39" fillId="6" borderId="62" xfId="2" applyNumberFormat="1" applyFont="1" applyFill="1" applyBorder="1" applyAlignment="1">
      <alignment vertical="top"/>
    </xf>
    <xf numFmtId="165" fontId="39" fillId="6" borderId="64" xfId="2" applyNumberFormat="1" applyFont="1" applyFill="1" applyBorder="1" applyAlignment="1">
      <alignment vertical="top"/>
    </xf>
    <xf numFmtId="3" fontId="39" fillId="6" borderId="64" xfId="2" applyNumberFormat="1" applyFont="1" applyFill="1" applyBorder="1" applyAlignment="1">
      <alignment vertical="top"/>
    </xf>
    <xf numFmtId="166" fontId="17" fillId="0" borderId="0" xfId="0" applyNumberFormat="1" applyFont="1"/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" fillId="6" borderId="62" xfId="2" applyFont="1" applyFill="1" applyBorder="1" applyAlignment="1">
      <alignment vertical="top"/>
    </xf>
    <xf numFmtId="3" fontId="4" fillId="6" borderId="71" xfId="2" applyNumberFormat="1" applyFont="1" applyFill="1" applyBorder="1" applyAlignment="1">
      <alignment vertical="top"/>
    </xf>
    <xf numFmtId="3" fontId="4" fillId="6" borderId="64" xfId="2" applyNumberFormat="1" applyFont="1" applyFill="1" applyBorder="1" applyAlignment="1">
      <alignment vertical="top"/>
    </xf>
    <xf numFmtId="3" fontId="4" fillId="6" borderId="63" xfId="2" applyNumberFormat="1" applyFont="1" applyFill="1" applyBorder="1" applyAlignment="1">
      <alignment vertical="top"/>
    </xf>
    <xf numFmtId="3" fontId="2" fillId="6" borderId="61" xfId="2" applyNumberFormat="1" applyFont="1" applyFill="1" applyBorder="1" applyAlignment="1">
      <alignment vertical="top"/>
    </xf>
    <xf numFmtId="165" fontId="2" fillId="6" borderId="62" xfId="2" applyNumberFormat="1" applyFont="1" applyFill="1" applyBorder="1" applyAlignment="1">
      <alignment vertical="top"/>
    </xf>
    <xf numFmtId="3" fontId="2" fillId="6" borderId="62" xfId="2" applyNumberFormat="1" applyFont="1" applyFill="1" applyBorder="1" applyAlignment="1">
      <alignment vertical="top"/>
    </xf>
    <xf numFmtId="165" fontId="2" fillId="6" borderId="64" xfId="2" applyNumberFormat="1" applyFont="1" applyFill="1" applyBorder="1" applyAlignment="1">
      <alignment vertical="top"/>
    </xf>
    <xf numFmtId="3" fontId="2" fillId="6" borderId="64" xfId="2" applyNumberFormat="1" applyFont="1" applyFill="1" applyBorder="1" applyAlignment="1">
      <alignment vertical="top"/>
    </xf>
    <xf numFmtId="3" fontId="2" fillId="6" borderId="62" xfId="2" applyNumberFormat="1" applyFont="1" applyFill="1" applyBorder="1" applyAlignment="1">
      <alignment vertical="top" wrapText="1"/>
    </xf>
    <xf numFmtId="43" fontId="2" fillId="6" borderId="64" xfId="1" applyFont="1" applyFill="1" applyBorder="1" applyAlignment="1">
      <alignment vertical="top"/>
    </xf>
    <xf numFmtId="43" fontId="4" fillId="6" borderId="71" xfId="1" applyFont="1" applyFill="1" applyBorder="1" applyAlignment="1">
      <alignment vertical="top"/>
    </xf>
    <xf numFmtId="43" fontId="4" fillId="6" borderId="64" xfId="1" applyFont="1" applyFill="1" applyBorder="1" applyAlignment="1">
      <alignment vertical="top"/>
    </xf>
    <xf numFmtId="43" fontId="4" fillId="6" borderId="63" xfId="1" applyFont="1" applyFill="1" applyBorder="1" applyAlignment="1">
      <alignment vertical="top"/>
    </xf>
    <xf numFmtId="43" fontId="4" fillId="6" borderId="62" xfId="1" applyFont="1" applyFill="1" applyBorder="1" applyAlignment="1">
      <alignment vertical="top"/>
    </xf>
    <xf numFmtId="43" fontId="4" fillId="6" borderId="102" xfId="1" applyFont="1" applyFill="1" applyBorder="1" applyAlignment="1">
      <alignment vertical="top"/>
    </xf>
    <xf numFmtId="3" fontId="2" fillId="6" borderId="71" xfId="2" applyNumberFormat="1" applyFont="1" applyFill="1" applyBorder="1" applyAlignment="1">
      <alignment vertical="top"/>
    </xf>
    <xf numFmtId="43" fontId="2" fillId="6" borderId="62" xfId="1" applyFont="1" applyFill="1" applyBorder="1" applyAlignment="1">
      <alignment vertical="top"/>
    </xf>
    <xf numFmtId="43" fontId="2" fillId="6" borderId="66" xfId="1" applyFont="1" applyFill="1" applyBorder="1" applyAlignment="1">
      <alignment vertical="top"/>
    </xf>
    <xf numFmtId="0" fontId="2" fillId="6" borderId="62" xfId="2" applyFont="1" applyFill="1" applyBorder="1" applyAlignment="1">
      <alignment vertical="top" wrapText="1"/>
    </xf>
    <xf numFmtId="3" fontId="22" fillId="4" borderId="71" xfId="2" applyNumberFormat="1" applyFont="1" applyFill="1" applyBorder="1" applyAlignment="1">
      <alignment vertical="top"/>
    </xf>
    <xf numFmtId="3" fontId="22" fillId="4" borderId="64" xfId="2" applyNumberFormat="1" applyFont="1" applyFill="1" applyBorder="1" applyAlignment="1">
      <alignment vertical="top"/>
    </xf>
    <xf numFmtId="3" fontId="22" fillId="4" borderId="63" xfId="2" applyNumberFormat="1" applyFont="1" applyFill="1" applyBorder="1" applyAlignment="1">
      <alignment vertical="top"/>
    </xf>
    <xf numFmtId="3" fontId="22" fillId="4" borderId="62" xfId="2" applyNumberFormat="1" applyFont="1" applyFill="1" applyBorder="1" applyAlignment="1">
      <alignment vertical="top"/>
    </xf>
    <xf numFmtId="165" fontId="22" fillId="4" borderId="62" xfId="2" applyNumberFormat="1" applyFont="1" applyFill="1" applyBorder="1" applyAlignment="1">
      <alignment vertical="top"/>
    </xf>
    <xf numFmtId="165" fontId="22" fillId="4" borderId="64" xfId="2" applyNumberFormat="1" applyFont="1" applyFill="1" applyBorder="1" applyAlignment="1">
      <alignment vertical="top"/>
    </xf>
    <xf numFmtId="3" fontId="17" fillId="0" borderId="0" xfId="0" applyNumberFormat="1" applyFont="1"/>
    <xf numFmtId="43" fontId="1" fillId="0" borderId="0" xfId="0" applyNumberFormat="1" applyFont="1" applyAlignment="1">
      <alignment horizontal="center"/>
    </xf>
    <xf numFmtId="3" fontId="15" fillId="6" borderId="77" xfId="2" applyNumberFormat="1" applyFont="1" applyFill="1" applyBorder="1" applyAlignment="1">
      <alignment vertical="top" wrapText="1"/>
    </xf>
    <xf numFmtId="3" fontId="15" fillId="6" borderId="86" xfId="2" applyNumberFormat="1" applyFont="1" applyFill="1" applyBorder="1" applyAlignment="1">
      <alignment vertical="top"/>
    </xf>
    <xf numFmtId="3" fontId="15" fillId="6" borderId="80" xfId="2" applyNumberFormat="1" applyFont="1" applyFill="1" applyBorder="1" applyAlignment="1">
      <alignment vertical="top"/>
    </xf>
    <xf numFmtId="3" fontId="15" fillId="6" borderId="78" xfId="2" applyNumberFormat="1" applyFont="1" applyFill="1" applyBorder="1" applyAlignment="1">
      <alignment vertical="top"/>
    </xf>
    <xf numFmtId="3" fontId="15" fillId="6" borderId="77" xfId="2" applyNumberFormat="1" applyFont="1" applyFill="1" applyBorder="1" applyAlignment="1">
      <alignment vertical="top"/>
    </xf>
    <xf numFmtId="165" fontId="15" fillId="6" borderId="77" xfId="2" applyNumberFormat="1" applyFont="1" applyFill="1" applyBorder="1" applyAlignment="1">
      <alignment vertical="top"/>
    </xf>
    <xf numFmtId="165" fontId="15" fillId="6" borderId="80" xfId="2" applyNumberFormat="1" applyFont="1" applyFill="1" applyBorder="1" applyAlignment="1">
      <alignment vertical="top"/>
    </xf>
    <xf numFmtId="3" fontId="4" fillId="6" borderId="61" xfId="2" applyNumberFormat="1" applyFont="1" applyFill="1" applyBorder="1" applyAlignment="1">
      <alignment vertical="top"/>
    </xf>
    <xf numFmtId="165" fontId="4" fillId="6" borderId="62" xfId="2" applyNumberFormat="1" applyFont="1" applyFill="1" applyBorder="1" applyAlignment="1">
      <alignment vertical="top"/>
    </xf>
    <xf numFmtId="3" fontId="4" fillId="6" borderId="62" xfId="2" applyNumberFormat="1" applyFont="1" applyFill="1" applyBorder="1" applyAlignment="1">
      <alignment vertical="top"/>
    </xf>
    <xf numFmtId="0" fontId="2" fillId="6" borderId="62" xfId="2" applyFont="1" applyFill="1" applyBorder="1" applyAlignment="1">
      <alignment horizontal="left" vertical="center"/>
    </xf>
    <xf numFmtId="3" fontId="4" fillId="6" borderId="102" xfId="2" applyNumberFormat="1" applyFont="1" applyFill="1" applyBorder="1" applyAlignment="1">
      <alignment vertical="top"/>
    </xf>
    <xf numFmtId="0" fontId="15" fillId="6" borderId="62" xfId="2" applyFont="1" applyFill="1" applyBorder="1" applyAlignment="1">
      <alignment vertical="top"/>
    </xf>
    <xf numFmtId="3" fontId="15" fillId="6" borderId="61" xfId="2" applyNumberFormat="1" applyFont="1" applyFill="1" applyBorder="1" applyAlignment="1">
      <alignment vertical="top"/>
    </xf>
    <xf numFmtId="165" fontId="15" fillId="6" borderId="64" xfId="2" applyNumberFormat="1" applyFont="1" applyFill="1" applyBorder="1" applyAlignment="1">
      <alignment vertical="top"/>
    </xf>
    <xf numFmtId="3" fontId="15" fillId="6" borderId="62" xfId="2" applyNumberFormat="1" applyFont="1" applyFill="1" applyBorder="1" applyAlignment="1">
      <alignment vertical="top"/>
    </xf>
    <xf numFmtId="0" fontId="2" fillId="6" borderId="94" xfId="2" applyFont="1" applyFill="1" applyBorder="1" applyAlignment="1">
      <alignment vertical="center"/>
    </xf>
    <xf numFmtId="3" fontId="4" fillId="6" borderId="117" xfId="2" applyNumberFormat="1" applyFont="1" applyFill="1" applyBorder="1" applyAlignment="1">
      <alignment vertical="top"/>
    </xf>
    <xf numFmtId="3" fontId="4" fillId="6" borderId="91" xfId="2" applyNumberFormat="1" applyFont="1" applyFill="1" applyBorder="1" applyAlignment="1">
      <alignment vertical="top"/>
    </xf>
    <xf numFmtId="3" fontId="4" fillId="6" borderId="95" xfId="2" applyNumberFormat="1" applyFont="1" applyFill="1" applyBorder="1" applyAlignment="1">
      <alignment vertical="top"/>
    </xf>
    <xf numFmtId="3" fontId="2" fillId="6" borderId="94" xfId="2" applyNumberFormat="1" applyFont="1" applyFill="1" applyBorder="1" applyAlignment="1">
      <alignment vertical="top"/>
    </xf>
    <xf numFmtId="165" fontId="2" fillId="6" borderId="91" xfId="2" applyNumberFormat="1" applyFont="1" applyFill="1" applyBorder="1" applyAlignment="1">
      <alignment vertical="top"/>
    </xf>
    <xf numFmtId="3" fontId="2" fillId="6" borderId="91" xfId="2" applyNumberFormat="1" applyFont="1" applyFill="1" applyBorder="1" applyAlignment="1">
      <alignment vertical="top"/>
    </xf>
    <xf numFmtId="0" fontId="3" fillId="18" borderId="58" xfId="2" applyFont="1" applyFill="1" applyBorder="1" applyAlignment="1">
      <alignment vertical="center" wrapText="1"/>
    </xf>
    <xf numFmtId="0" fontId="6" fillId="18" borderId="104" xfId="2" applyFont="1" applyFill="1" applyBorder="1" applyAlignment="1">
      <alignment vertical="top" wrapText="1"/>
    </xf>
    <xf numFmtId="3" fontId="2" fillId="18" borderId="57" xfId="2" applyNumberFormat="1" applyFont="1" applyFill="1" applyBorder="1" applyAlignment="1">
      <alignment horizontal="right" vertical="center"/>
    </xf>
    <xf numFmtId="3" fontId="2" fillId="18" borderId="58" xfId="2" applyNumberFormat="1" applyFont="1" applyFill="1" applyBorder="1" applyAlignment="1">
      <alignment horizontal="right" vertical="center"/>
    </xf>
    <xf numFmtId="3" fontId="2" fillId="18" borderId="59" xfId="2" applyNumberFormat="1" applyFont="1" applyFill="1" applyBorder="1" applyAlignment="1">
      <alignment horizontal="right" vertical="center"/>
    </xf>
    <xf numFmtId="3" fontId="2" fillId="18" borderId="98" xfId="2" applyNumberFormat="1" applyFont="1" applyFill="1" applyBorder="1" applyAlignment="1">
      <alignment horizontal="right" vertical="center"/>
    </xf>
    <xf numFmtId="165" fontId="2" fillId="18" borderId="58" xfId="2" applyNumberFormat="1" applyFont="1" applyFill="1" applyBorder="1" applyAlignment="1">
      <alignment horizontal="right" vertical="center"/>
    </xf>
    <xf numFmtId="165" fontId="2" fillId="18" borderId="60" xfId="2" applyNumberFormat="1" applyFont="1" applyFill="1" applyBorder="1" applyAlignment="1">
      <alignment horizontal="right" vertical="center"/>
    </xf>
    <xf numFmtId="3" fontId="2" fillId="18" borderId="60" xfId="2" applyNumberFormat="1" applyFont="1" applyFill="1" applyBorder="1" applyAlignment="1">
      <alignment horizontal="right" vertical="center"/>
    </xf>
    <xf numFmtId="0" fontId="22" fillId="20" borderId="62" xfId="2" applyFont="1" applyFill="1" applyBorder="1" applyAlignment="1">
      <alignment horizontal="left" vertical="center"/>
    </xf>
    <xf numFmtId="0" fontId="7" fillId="20" borderId="102" xfId="2" applyFont="1" applyFill="1" applyBorder="1" applyAlignment="1">
      <alignment horizontal="left" vertical="center"/>
    </xf>
    <xf numFmtId="3" fontId="3" fillId="20" borderId="66" xfId="2" applyNumberFormat="1" applyFont="1" applyFill="1" applyBorder="1" applyAlignment="1">
      <alignment horizontal="right" vertical="center"/>
    </xf>
    <xf numFmtId="165" fontId="3" fillId="20" borderId="66" xfId="2" applyNumberFormat="1" applyFont="1" applyFill="1" applyBorder="1" applyAlignment="1">
      <alignment horizontal="right" vertical="center"/>
    </xf>
    <xf numFmtId="3" fontId="3" fillId="20" borderId="102" xfId="2" applyNumberFormat="1" applyFont="1" applyFill="1" applyBorder="1" applyAlignment="1">
      <alignment horizontal="right" vertical="center"/>
    </xf>
    <xf numFmtId="3" fontId="39" fillId="18" borderId="62" xfId="2" applyNumberFormat="1" applyFont="1" applyFill="1" applyBorder="1" applyAlignment="1">
      <alignment vertical="top" wrapText="1"/>
    </xf>
    <xf numFmtId="3" fontId="39" fillId="18" borderId="66" xfId="2" applyNumberFormat="1" applyFont="1" applyFill="1" applyBorder="1" applyAlignment="1">
      <alignment horizontal="right" vertical="center"/>
    </xf>
    <xf numFmtId="165" fontId="39" fillId="18" borderId="62" xfId="2" applyNumberFormat="1" applyFont="1" applyFill="1" applyBorder="1" applyAlignment="1">
      <alignment horizontal="right" vertical="center"/>
    </xf>
    <xf numFmtId="165" fontId="39" fillId="18" borderId="66" xfId="2" applyNumberFormat="1" applyFont="1" applyFill="1" applyBorder="1" applyAlignment="1">
      <alignment horizontal="right" vertical="center"/>
    </xf>
    <xf numFmtId="3" fontId="39" fillId="18" borderId="102" xfId="2" applyNumberFormat="1" applyFont="1" applyFill="1" applyBorder="1" applyAlignment="1">
      <alignment horizontal="right" vertical="center"/>
    </xf>
    <xf numFmtId="3" fontId="2" fillId="18" borderId="62" xfId="2" applyNumberFormat="1" applyFont="1" applyFill="1" applyBorder="1" applyAlignment="1">
      <alignment vertical="top" wrapText="1"/>
    </xf>
    <xf numFmtId="3" fontId="2" fillId="18" borderId="71" xfId="2" applyNumberFormat="1" applyFont="1" applyFill="1" applyBorder="1" applyAlignment="1">
      <alignment horizontal="right" vertical="center"/>
    </xf>
    <xf numFmtId="3" fontId="2" fillId="18" borderId="66" xfId="2" applyNumberFormat="1" applyFont="1" applyFill="1" applyBorder="1" applyAlignment="1">
      <alignment horizontal="right" vertical="center"/>
    </xf>
    <xf numFmtId="165" fontId="2" fillId="18" borderId="62" xfId="2" applyNumberFormat="1" applyFont="1" applyFill="1" applyBorder="1" applyAlignment="1">
      <alignment horizontal="right" vertical="center"/>
    </xf>
    <xf numFmtId="165" fontId="2" fillId="18" borderId="66" xfId="2" applyNumberFormat="1" applyFont="1" applyFill="1" applyBorder="1" applyAlignment="1">
      <alignment horizontal="right" vertical="center"/>
    </xf>
    <xf numFmtId="3" fontId="2" fillId="18" borderId="102" xfId="2" applyNumberFormat="1" applyFont="1" applyFill="1" applyBorder="1" applyAlignment="1">
      <alignment horizontal="right" vertical="center"/>
    </xf>
    <xf numFmtId="0" fontId="2" fillId="18" borderId="62" xfId="2" applyFont="1" applyFill="1" applyBorder="1" applyAlignment="1">
      <alignment vertical="top"/>
    </xf>
    <xf numFmtId="43" fontId="2" fillId="18" borderId="66" xfId="1" applyFont="1" applyFill="1" applyBorder="1" applyAlignment="1">
      <alignment horizontal="right" vertical="center"/>
    </xf>
    <xf numFmtId="0" fontId="39" fillId="18" borderId="62" xfId="2" applyFont="1" applyFill="1" applyBorder="1" applyAlignment="1">
      <alignment vertical="top"/>
    </xf>
    <xf numFmtId="43" fontId="1" fillId="18" borderId="61" xfId="1" applyFont="1" applyFill="1" applyBorder="1" applyAlignment="1">
      <alignment vertical="center"/>
    </xf>
    <xf numFmtId="43" fontId="1" fillId="18" borderId="62" xfId="1" applyFont="1" applyFill="1" applyBorder="1" applyAlignment="1">
      <alignment vertical="center"/>
    </xf>
    <xf numFmtId="43" fontId="1" fillId="18" borderId="63" xfId="1" applyFont="1" applyFill="1" applyBorder="1" applyAlignment="1">
      <alignment vertical="center"/>
    </xf>
    <xf numFmtId="43" fontId="1" fillId="18" borderId="66" xfId="1" applyFont="1" applyFill="1" applyBorder="1" applyAlignment="1">
      <alignment vertical="center"/>
    </xf>
    <xf numFmtId="43" fontId="1" fillId="18" borderId="102" xfId="1" applyFont="1" applyFill="1" applyBorder="1" applyAlignment="1">
      <alignment vertical="center"/>
    </xf>
    <xf numFmtId="3" fontId="1" fillId="18" borderId="71" xfId="3" applyNumberFormat="1" applyFont="1" applyFill="1" applyBorder="1" applyAlignment="1">
      <alignment vertical="center"/>
    </xf>
    <xf numFmtId="3" fontId="1" fillId="18" borderId="62" xfId="3" applyNumberFormat="1" applyFont="1" applyFill="1" applyBorder="1" applyAlignment="1">
      <alignment vertical="center"/>
    </xf>
    <xf numFmtId="3" fontId="1" fillId="18" borderId="66" xfId="3" applyNumberFormat="1" applyFont="1" applyFill="1" applyBorder="1" applyAlignment="1">
      <alignment vertical="center"/>
    </xf>
    <xf numFmtId="3" fontId="1" fillId="18" borderId="61" xfId="3" applyNumberFormat="1" applyFont="1" applyFill="1" applyBorder="1" applyAlignment="1">
      <alignment vertical="center"/>
    </xf>
    <xf numFmtId="165" fontId="1" fillId="18" borderId="66" xfId="3" applyNumberFormat="1" applyFont="1" applyFill="1" applyBorder="1" applyAlignment="1">
      <alignment vertical="center"/>
    </xf>
    <xf numFmtId="0" fontId="7" fillId="4" borderId="102" xfId="2" applyFont="1" applyFill="1" applyBorder="1" applyAlignment="1">
      <alignment horizontal="left" vertical="center"/>
    </xf>
    <xf numFmtId="3" fontId="3" fillId="4" borderId="66" xfId="2" applyNumberFormat="1" applyFont="1" applyFill="1" applyBorder="1" applyAlignment="1"/>
    <xf numFmtId="165" fontId="3" fillId="4" borderId="62" xfId="2" applyNumberFormat="1" applyFont="1" applyFill="1" applyBorder="1" applyAlignment="1"/>
    <xf numFmtId="3" fontId="3" fillId="4" borderId="102" xfId="2" applyNumberFormat="1" applyFont="1" applyFill="1" applyBorder="1" applyAlignment="1"/>
    <xf numFmtId="3" fontId="15" fillId="18" borderId="62" xfId="2" applyNumberFormat="1" applyFont="1" applyFill="1" applyBorder="1" applyAlignment="1">
      <alignment vertical="top" wrapText="1"/>
    </xf>
    <xf numFmtId="3" fontId="29" fillId="18" borderId="71" xfId="3" applyNumberFormat="1" applyFont="1" applyFill="1" applyBorder="1" applyAlignment="1">
      <alignment vertical="center"/>
    </xf>
    <xf numFmtId="3" fontId="29" fillId="18" borderId="64" xfId="3" applyNumberFormat="1" applyFont="1" applyFill="1" applyBorder="1" applyAlignment="1">
      <alignment vertical="center"/>
    </xf>
    <xf numFmtId="3" fontId="29" fillId="18" borderId="62" xfId="3" applyNumberFormat="1" applyFont="1" applyFill="1" applyBorder="1" applyAlignment="1">
      <alignment vertical="center"/>
    </xf>
    <xf numFmtId="3" fontId="29" fillId="18" borderId="66" xfId="3" applyNumberFormat="1" applyFont="1" applyFill="1" applyBorder="1" applyAlignment="1">
      <alignment vertical="center"/>
    </xf>
    <xf numFmtId="3" fontId="29" fillId="18" borderId="61" xfId="3" applyNumberFormat="1" applyFont="1" applyFill="1" applyBorder="1" applyAlignment="1">
      <alignment vertical="center"/>
    </xf>
    <xf numFmtId="3" fontId="29" fillId="18" borderId="102" xfId="3" applyNumberFormat="1" applyFont="1" applyFill="1" applyBorder="1" applyAlignment="1">
      <alignment vertical="center"/>
    </xf>
    <xf numFmtId="0" fontId="2" fillId="18" borderId="62" xfId="2" applyFont="1" applyFill="1" applyBorder="1" applyAlignment="1">
      <alignment horizontal="left" vertical="center"/>
    </xf>
    <xf numFmtId="3" fontId="1" fillId="18" borderId="63" xfId="3" applyNumberFormat="1" applyFont="1" applyFill="1" applyBorder="1" applyAlignment="1">
      <alignment vertical="center"/>
    </xf>
    <xf numFmtId="3" fontId="1" fillId="18" borderId="102" xfId="3" applyNumberFormat="1" applyFont="1" applyFill="1" applyBorder="1" applyAlignment="1">
      <alignment vertical="center"/>
    </xf>
    <xf numFmtId="0" fontId="2" fillId="18" borderId="62" xfId="2" applyFont="1" applyFill="1" applyBorder="1" applyAlignment="1">
      <alignment vertical="top" wrapText="1"/>
    </xf>
    <xf numFmtId="0" fontId="15" fillId="18" borderId="62" xfId="2" applyFont="1" applyFill="1" applyBorder="1" applyAlignment="1">
      <alignment vertical="top"/>
    </xf>
    <xf numFmtId="3" fontId="29" fillId="18" borderId="63" xfId="3" applyNumberFormat="1" applyFont="1" applyFill="1" applyBorder="1" applyAlignment="1">
      <alignment vertical="center"/>
    </xf>
    <xf numFmtId="165" fontId="29" fillId="18" borderId="64" xfId="3" applyNumberFormat="1" applyFont="1" applyFill="1" applyBorder="1" applyAlignment="1">
      <alignment vertical="center"/>
    </xf>
    <xf numFmtId="0" fontId="2" fillId="18" borderId="68" xfId="2" applyFont="1" applyFill="1" applyBorder="1" applyAlignment="1">
      <alignment vertical="center"/>
    </xf>
    <xf numFmtId="3" fontId="1" fillId="18" borderId="72" xfId="3" applyNumberFormat="1" applyFont="1" applyFill="1" applyBorder="1" applyAlignment="1">
      <alignment vertical="center"/>
    </xf>
    <xf numFmtId="3" fontId="1" fillId="18" borderId="68" xfId="3" applyNumberFormat="1" applyFont="1" applyFill="1" applyBorder="1" applyAlignment="1">
      <alignment vertical="center"/>
    </xf>
    <xf numFmtId="3" fontId="1" fillId="18" borderId="96" xfId="3" applyNumberFormat="1" applyFont="1" applyFill="1" applyBorder="1" applyAlignment="1">
      <alignment vertical="center"/>
    </xf>
    <xf numFmtId="3" fontId="1" fillId="18" borderId="67" xfId="3" applyNumberFormat="1" applyFont="1" applyFill="1" applyBorder="1" applyAlignment="1">
      <alignment vertical="center"/>
    </xf>
    <xf numFmtId="165" fontId="1" fillId="18" borderId="68" xfId="3" applyNumberFormat="1" applyFont="1" applyFill="1" applyBorder="1" applyAlignment="1">
      <alignment vertical="center"/>
    </xf>
    <xf numFmtId="3" fontId="1" fillId="18" borderId="103" xfId="3" applyNumberFormat="1" applyFont="1" applyFill="1" applyBorder="1" applyAlignment="1">
      <alignment vertical="center"/>
    </xf>
    <xf numFmtId="0" fontId="3" fillId="15" borderId="58" xfId="2" applyFont="1" applyFill="1" applyBorder="1" applyAlignment="1">
      <alignment vertical="top" wrapText="1"/>
    </xf>
    <xf numFmtId="165" fontId="3" fillId="15" borderId="58" xfId="2" applyNumberFormat="1" applyFont="1" applyFill="1" applyBorder="1" applyAlignment="1">
      <alignment horizontal="right" vertical="center"/>
    </xf>
    <xf numFmtId="165" fontId="3" fillId="15" borderId="60" xfId="2" applyNumberFormat="1" applyFont="1" applyFill="1" applyBorder="1" applyAlignment="1">
      <alignment horizontal="right" vertical="center"/>
    </xf>
    <xf numFmtId="0" fontId="7" fillId="0" borderId="81" xfId="2" applyFont="1" applyFill="1" applyBorder="1" applyAlignment="1">
      <alignment horizontal="center" vertical="center" wrapText="1"/>
    </xf>
    <xf numFmtId="3" fontId="3" fillId="4" borderId="71" xfId="2" applyNumberFormat="1" applyFont="1" applyFill="1" applyBorder="1" applyAlignment="1"/>
    <xf numFmtId="165" fontId="3" fillId="4" borderId="64" xfId="2" applyNumberFormat="1" applyFont="1" applyFill="1" applyBorder="1" applyAlignment="1"/>
    <xf numFmtId="3" fontId="15" fillId="0" borderId="61" xfId="2" applyNumberFormat="1" applyFont="1" applyFill="1" applyBorder="1" applyAlignment="1"/>
    <xf numFmtId="3" fontId="15" fillId="0" borderId="62" xfId="2" applyNumberFormat="1" applyFont="1" applyFill="1" applyBorder="1" applyAlignment="1"/>
    <xf numFmtId="3" fontId="39" fillId="0" borderId="61" xfId="2" applyNumberFormat="1" applyFont="1" applyFill="1" applyBorder="1" applyAlignment="1"/>
    <xf numFmtId="165" fontId="39" fillId="0" borderId="62" xfId="2" applyNumberFormat="1" applyFont="1" applyFill="1" applyBorder="1" applyAlignment="1"/>
    <xf numFmtId="3" fontId="39" fillId="0" borderId="62" xfId="2" applyNumberFormat="1" applyFont="1" applyFill="1" applyBorder="1" applyAlignment="1"/>
    <xf numFmtId="165" fontId="39" fillId="0" borderId="64" xfId="2" applyNumberFormat="1" applyFont="1" applyFill="1" applyBorder="1" applyAlignment="1"/>
    <xf numFmtId="3" fontId="15" fillId="0" borderId="64" xfId="2" applyNumberFormat="1" applyFont="1" applyFill="1" applyBorder="1" applyAlignment="1"/>
    <xf numFmtId="3" fontId="2" fillId="0" borderId="62" xfId="2" applyNumberFormat="1" applyFont="1" applyFill="1" applyBorder="1" applyAlignment="1">
      <alignment horizontal="right" vertical="center"/>
    </xf>
    <xf numFmtId="165" fontId="2" fillId="0" borderId="62" xfId="2" applyNumberFormat="1" applyFont="1" applyFill="1" applyBorder="1" applyAlignment="1">
      <alignment horizontal="right" vertical="center"/>
    </xf>
    <xf numFmtId="165" fontId="2" fillId="0" borderId="64" xfId="2" applyNumberFormat="1" applyFont="1" applyFill="1" applyBorder="1" applyAlignment="1">
      <alignment horizontal="right" vertical="center"/>
    </xf>
    <xf numFmtId="43" fontId="2" fillId="0" borderId="64" xfId="1" applyFont="1" applyFill="1" applyBorder="1" applyAlignment="1">
      <alignment horizontal="right" vertical="center"/>
    </xf>
    <xf numFmtId="43" fontId="1" fillId="0" borderId="61" xfId="1" applyFont="1" applyFill="1" applyBorder="1" applyAlignment="1">
      <alignment vertical="center"/>
    </xf>
    <xf numFmtId="43" fontId="2" fillId="0" borderId="61" xfId="1" applyFont="1" applyFill="1" applyBorder="1" applyAlignment="1">
      <alignment horizontal="right" vertical="center"/>
    </xf>
    <xf numFmtId="43" fontId="3" fillId="4" borderId="102" xfId="1" applyFont="1" applyFill="1" applyBorder="1" applyAlignment="1"/>
    <xf numFmtId="3" fontId="15" fillId="2" borderId="64" xfId="2" applyNumberFormat="1" applyFont="1" applyFill="1" applyBorder="1" applyAlignment="1">
      <alignment vertical="top" wrapText="1"/>
    </xf>
    <xf numFmtId="3" fontId="3" fillId="0" borderId="93" xfId="2" applyNumberFormat="1" applyFont="1" applyFill="1" applyBorder="1" applyAlignment="1"/>
    <xf numFmtId="3" fontId="3" fillId="0" borderId="94" xfId="2" applyNumberFormat="1" applyFont="1" applyFill="1" applyBorder="1" applyAlignment="1"/>
    <xf numFmtId="43" fontId="3" fillId="0" borderId="63" xfId="1" applyFont="1" applyFill="1" applyBorder="1" applyAlignment="1"/>
    <xf numFmtId="3" fontId="3" fillId="0" borderId="61" xfId="2" applyNumberFormat="1" applyFont="1" applyFill="1" applyBorder="1" applyAlignment="1"/>
    <xf numFmtId="43" fontId="2" fillId="0" borderId="102" xfId="1" applyFont="1" applyFill="1" applyBorder="1" applyAlignment="1">
      <alignment horizontal="right" vertical="center"/>
    </xf>
    <xf numFmtId="3" fontId="3" fillId="0" borderId="64" xfId="2" applyNumberFormat="1" applyFont="1" applyFill="1" applyBorder="1" applyAlignment="1"/>
    <xf numFmtId="0" fontId="2" fillId="0" borderId="64" xfId="2" applyFont="1" applyFill="1" applyBorder="1" applyAlignment="1">
      <alignment vertical="top"/>
    </xf>
    <xf numFmtId="43" fontId="2" fillId="0" borderId="65" xfId="1" applyFont="1" applyFill="1" applyBorder="1" applyAlignment="1">
      <alignment horizontal="right" vertical="center"/>
    </xf>
    <xf numFmtId="0" fontId="15" fillId="2" borderId="64" xfId="2" applyFont="1" applyFill="1" applyBorder="1" applyAlignment="1">
      <alignment vertical="top"/>
    </xf>
    <xf numFmtId="43" fontId="3" fillId="0" borderId="65" xfId="1" applyFont="1" applyFill="1" applyBorder="1" applyAlignment="1"/>
    <xf numFmtId="43" fontId="29" fillId="0" borderId="102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3" fontId="4" fillId="0" borderId="68" xfId="2" applyNumberFormat="1" applyFont="1" applyFill="1" applyBorder="1" applyAlignment="1">
      <alignment horizontal="right" vertical="center"/>
    </xf>
    <xf numFmtId="43" fontId="4" fillId="0" borderId="85" xfId="1" applyFont="1" applyFill="1" applyBorder="1" applyAlignment="1"/>
    <xf numFmtId="165" fontId="2" fillId="0" borderId="68" xfId="2" applyNumberFormat="1" applyFont="1" applyFill="1" applyBorder="1" applyAlignment="1">
      <alignment horizontal="right" vertical="center"/>
    </xf>
    <xf numFmtId="43" fontId="2" fillId="0" borderId="103" xfId="1" applyFont="1" applyFill="1" applyBorder="1" applyAlignment="1">
      <alignment horizontal="right" vertical="center"/>
    </xf>
    <xf numFmtId="0" fontId="3" fillId="15" borderId="60" xfId="2" applyFont="1" applyFill="1" applyBorder="1" applyAlignment="1">
      <alignment vertical="top" wrapText="1"/>
    </xf>
    <xf numFmtId="3" fontId="3" fillId="15" borderId="125" xfId="2" applyNumberFormat="1" applyFont="1" applyFill="1" applyBorder="1" applyAlignment="1">
      <alignment horizontal="right" vertical="center"/>
    </xf>
    <xf numFmtId="165" fontId="3" fillId="15" borderId="104" xfId="2" applyNumberFormat="1" applyFont="1" applyFill="1" applyBorder="1" applyAlignment="1">
      <alignment horizontal="right" vertical="center"/>
    </xf>
    <xf numFmtId="0" fontId="22" fillId="4" borderId="64" xfId="2" applyFont="1" applyFill="1" applyBorder="1" applyAlignment="1">
      <alignment horizontal="left" vertical="center"/>
    </xf>
    <xf numFmtId="3" fontId="22" fillId="4" borderId="61" xfId="2" applyNumberFormat="1" applyFont="1" applyFill="1" applyBorder="1" applyAlignment="1">
      <alignment horizontal="right" vertical="center"/>
    </xf>
    <xf numFmtId="3" fontId="22" fillId="4" borderId="62" xfId="2" applyNumberFormat="1" applyFont="1" applyFill="1" applyBorder="1" applyAlignment="1">
      <alignment horizontal="right" vertical="center"/>
    </xf>
    <xf numFmtId="43" fontId="3" fillId="4" borderId="65" xfId="1" applyFont="1" applyFill="1" applyBorder="1" applyAlignment="1"/>
    <xf numFmtId="43" fontId="22" fillId="4" borderId="102" xfId="1" applyFont="1" applyFill="1" applyBorder="1" applyAlignment="1">
      <alignment horizontal="right" vertical="center"/>
    </xf>
    <xf numFmtId="3" fontId="22" fillId="4" borderId="64" xfId="2" applyNumberFormat="1" applyFont="1" applyFill="1" applyBorder="1" applyAlignment="1">
      <alignment horizontal="right" vertical="center"/>
    </xf>
    <xf numFmtId="3" fontId="15" fillId="0" borderId="61" xfId="2" applyNumberFormat="1" applyFont="1" applyFill="1" applyBorder="1" applyAlignment="1">
      <alignment horizontal="right" vertical="center"/>
    </xf>
    <xf numFmtId="3" fontId="15" fillId="0" borderId="62" xfId="2" applyNumberFormat="1" applyFont="1" applyFill="1" applyBorder="1" applyAlignment="1">
      <alignment horizontal="right" vertical="center"/>
    </xf>
    <xf numFmtId="3" fontId="15" fillId="0" borderId="64" xfId="2" applyNumberFormat="1" applyFont="1" applyFill="1" applyBorder="1" applyAlignment="1">
      <alignment horizontal="right" vertical="center"/>
    </xf>
    <xf numFmtId="43" fontId="4" fillId="0" borderId="65" xfId="1" applyFont="1" applyFill="1" applyBorder="1" applyAlignment="1">
      <alignment horizontal="right" vertical="center"/>
    </xf>
    <xf numFmtId="43" fontId="29" fillId="0" borderId="65" xfId="1" applyFont="1" applyFill="1" applyBorder="1" applyAlignment="1">
      <alignment vertical="center"/>
    </xf>
    <xf numFmtId="43" fontId="1" fillId="0" borderId="67" xfId="1" applyFont="1" applyFill="1" applyBorder="1" applyAlignment="1">
      <alignment vertical="center"/>
    </xf>
    <xf numFmtId="43" fontId="2" fillId="0" borderId="68" xfId="1" applyFont="1" applyFill="1" applyBorder="1" applyAlignment="1">
      <alignment horizontal="right" vertical="center"/>
    </xf>
    <xf numFmtId="43" fontId="4" fillId="0" borderId="68" xfId="1" applyFont="1" applyFill="1" applyBorder="1" applyAlignment="1">
      <alignment horizontal="right" vertical="center"/>
    </xf>
    <xf numFmtId="3" fontId="7" fillId="2" borderId="84" xfId="2" applyNumberFormat="1" applyFont="1" applyFill="1" applyBorder="1" applyAlignment="1">
      <alignment horizontal="center" vertical="center" wrapText="1"/>
    </xf>
    <xf numFmtId="3" fontId="1" fillId="0" borderId="79" xfId="3" applyNumberFormat="1" applyFont="1" applyFill="1" applyBorder="1" applyAlignment="1">
      <alignment vertical="center"/>
    </xf>
    <xf numFmtId="3" fontId="4" fillId="0" borderId="77" xfId="2" applyNumberFormat="1" applyFont="1" applyFill="1" applyBorder="1" applyAlignment="1">
      <alignment horizontal="right" vertical="center"/>
    </xf>
    <xf numFmtId="0" fontId="7" fillId="4" borderId="65" xfId="2" applyFont="1" applyFill="1" applyBorder="1" applyAlignment="1">
      <alignment horizontal="left" vertical="center"/>
    </xf>
    <xf numFmtId="43" fontId="3" fillId="4" borderId="64" xfId="1" applyFont="1" applyFill="1" applyBorder="1" applyAlignment="1"/>
    <xf numFmtId="43" fontId="15" fillId="0" borderId="63" xfId="1" applyFont="1" applyFill="1" applyBorder="1" applyAlignment="1"/>
    <xf numFmtId="43" fontId="4" fillId="0" borderId="63" xfId="1" applyFont="1" applyFill="1" applyBorder="1" applyAlignment="1"/>
    <xf numFmtId="0" fontId="1" fillId="3" borderId="0" xfId="0" applyFont="1" applyFill="1" applyAlignment="1"/>
    <xf numFmtId="0" fontId="2" fillId="0" borderId="68" xfId="2" applyFont="1" applyFill="1" applyBorder="1" applyAlignment="1">
      <alignment vertical="center"/>
    </xf>
    <xf numFmtId="43" fontId="4" fillId="0" borderId="69" xfId="1" applyFont="1" applyFill="1" applyBorder="1" applyAlignment="1">
      <alignment horizontal="right" vertical="center"/>
    </xf>
    <xf numFmtId="43" fontId="4" fillId="0" borderId="70" xfId="1" applyFont="1" applyFill="1" applyBorder="1" applyAlignment="1">
      <alignment horizontal="right" vertical="center"/>
    </xf>
    <xf numFmtId="0" fontId="3" fillId="15" borderId="58" xfId="2" applyFont="1" applyFill="1" applyBorder="1" applyAlignment="1">
      <alignment vertical="center" wrapText="1"/>
    </xf>
    <xf numFmtId="0" fontId="6" fillId="15" borderId="125" xfId="2" applyFont="1" applyFill="1" applyBorder="1" applyAlignment="1">
      <alignment horizontal="center" vertical="center" wrapText="1"/>
    </xf>
    <xf numFmtId="3" fontId="15" fillId="0" borderId="71" xfId="2" applyNumberFormat="1" applyFont="1" applyFill="1" applyBorder="1" applyAlignment="1">
      <alignment horizontal="right" vertical="center"/>
    </xf>
    <xf numFmtId="165" fontId="29" fillId="0" borderId="64" xfId="3" applyNumberFormat="1" applyFont="1" applyFill="1" applyBorder="1" applyAlignment="1">
      <alignment vertical="center"/>
    </xf>
    <xf numFmtId="3" fontId="3" fillId="0" borderId="71" xfId="2" applyNumberFormat="1" applyFont="1" applyFill="1" applyBorder="1" applyAlignment="1"/>
    <xf numFmtId="3" fontId="3" fillId="0" borderId="62" xfId="2" applyNumberFormat="1" applyFont="1" applyFill="1" applyBorder="1" applyAlignment="1"/>
    <xf numFmtId="0" fontId="7" fillId="0" borderId="63" xfId="2" applyFont="1" applyFill="1" applyBorder="1" applyAlignment="1">
      <alignment horizontal="left" vertical="center"/>
    </xf>
    <xf numFmtId="3" fontId="3" fillId="0" borderId="66" xfId="2" applyNumberFormat="1" applyFont="1" applyFill="1" applyBorder="1" applyAlignment="1"/>
    <xf numFmtId="3" fontId="2" fillId="0" borderId="62" xfId="2" applyNumberFormat="1" applyFont="1" applyFill="1" applyBorder="1" applyAlignment="1"/>
    <xf numFmtId="43" fontId="4" fillId="0" borderId="62" xfId="1" applyFont="1" applyFill="1" applyBorder="1" applyAlignment="1"/>
    <xf numFmtId="3" fontId="2" fillId="0" borderId="62" xfId="2" applyNumberFormat="1" applyFont="1" applyFill="1" applyBorder="1" applyAlignment="1">
      <alignment horizontal="right"/>
    </xf>
    <xf numFmtId="3" fontId="39" fillId="2" borderId="62" xfId="2" applyNumberFormat="1" applyFont="1" applyFill="1" applyBorder="1" applyAlignment="1"/>
    <xf numFmtId="3" fontId="2" fillId="0" borderId="68" xfId="2" applyNumberFormat="1" applyFont="1" applyFill="1" applyBorder="1" applyAlignment="1">
      <alignment horizontal="right"/>
    </xf>
    <xf numFmtId="43" fontId="2" fillId="0" borderId="69" xfId="1" applyFont="1" applyFill="1" applyBorder="1" applyAlignment="1">
      <alignment horizontal="right"/>
    </xf>
    <xf numFmtId="3" fontId="4" fillId="0" borderId="67" xfId="2" applyNumberFormat="1" applyFont="1" applyFill="1" applyBorder="1" applyAlignment="1">
      <alignment horizontal="right" vertical="center"/>
    </xf>
    <xf numFmtId="0" fontId="3" fillId="4" borderId="62" xfId="2" applyFont="1" applyFill="1" applyBorder="1" applyAlignment="1">
      <alignment horizontal="left" vertical="center"/>
    </xf>
    <xf numFmtId="0" fontId="6" fillId="4" borderId="63" xfId="2" applyFont="1" applyFill="1" applyBorder="1" applyAlignment="1">
      <alignment horizontal="left" vertical="center"/>
    </xf>
    <xf numFmtId="43" fontId="22" fillId="4" borderId="63" xfId="1" applyFont="1" applyFill="1" applyBorder="1" applyAlignment="1">
      <alignment horizontal="right" vertical="center"/>
    </xf>
    <xf numFmtId="3" fontId="39" fillId="2" borderId="62" xfId="2" applyNumberFormat="1" applyFont="1" applyFill="1" applyBorder="1" applyAlignment="1">
      <alignment vertical="top" wrapText="1"/>
    </xf>
    <xf numFmtId="43" fontId="15" fillId="0" borderId="63" xfId="1" applyFont="1" applyFill="1" applyBorder="1" applyAlignment="1">
      <alignment horizontal="right" vertical="center"/>
    </xf>
    <xf numFmtId="3" fontId="15" fillId="0" borderId="66" xfId="2" applyNumberFormat="1" applyFont="1" applyFill="1" applyBorder="1" applyAlignment="1">
      <alignment horizontal="right" vertical="center"/>
    </xf>
    <xf numFmtId="0" fontId="39" fillId="2" borderId="62" xfId="2" applyFont="1" applyFill="1" applyBorder="1" applyAlignment="1">
      <alignment vertical="top"/>
    </xf>
    <xf numFmtId="3" fontId="1" fillId="0" borderId="62" xfId="3" applyNumberFormat="1" applyFont="1" applyFill="1" applyBorder="1" applyAlignment="1">
      <alignment vertical="center"/>
    </xf>
    <xf numFmtId="3" fontId="4" fillId="0" borderId="64" xfId="2" applyNumberFormat="1" applyFont="1" applyFill="1" applyBorder="1" applyAlignment="1"/>
    <xf numFmtId="43" fontId="1" fillId="0" borderId="69" xfId="1" applyFont="1" applyFill="1" applyBorder="1" applyAlignment="1">
      <alignment vertical="center"/>
    </xf>
    <xf numFmtId="0" fontId="3" fillId="15" borderId="77" xfId="2" applyFont="1" applyFill="1" applyBorder="1" applyAlignment="1">
      <alignment vertical="center" wrapText="1"/>
    </xf>
    <xf numFmtId="0" fontId="6" fillId="15" borderId="78" xfId="2" applyFont="1" applyFill="1" applyBorder="1" applyAlignment="1">
      <alignment horizontal="center" vertical="center" wrapText="1"/>
    </xf>
    <xf numFmtId="3" fontId="3" fillId="15" borderId="79" xfId="2" applyNumberFormat="1" applyFont="1" applyFill="1" applyBorder="1" applyAlignment="1">
      <alignment horizontal="right" vertical="center"/>
    </xf>
    <xf numFmtId="3" fontId="3" fillId="15" borderId="77" xfId="2" applyNumberFormat="1" applyFont="1" applyFill="1" applyBorder="1" applyAlignment="1">
      <alignment horizontal="right" vertical="center"/>
    </xf>
    <xf numFmtId="3" fontId="3" fillId="15" borderId="78" xfId="2" applyNumberFormat="1" applyFont="1" applyFill="1" applyBorder="1" applyAlignment="1">
      <alignment horizontal="right" vertical="center"/>
    </xf>
    <xf numFmtId="3" fontId="3" fillId="15" borderId="80" xfId="2" applyNumberFormat="1" applyFont="1" applyFill="1" applyBorder="1" applyAlignment="1">
      <alignment horizontal="right" vertical="center"/>
    </xf>
    <xf numFmtId="43" fontId="1" fillId="0" borderId="63" xfId="1" applyFont="1" applyFill="1" applyBorder="1" applyAlignment="1">
      <alignment vertical="center"/>
    </xf>
    <xf numFmtId="3" fontId="15" fillId="2" borderId="66" xfId="2" applyNumberFormat="1" applyFont="1" applyFill="1" applyBorder="1" applyAlignment="1"/>
    <xf numFmtId="43" fontId="3" fillId="15" borderId="59" xfId="1" applyFont="1" applyFill="1" applyBorder="1" applyAlignment="1">
      <alignment horizontal="right" vertical="center"/>
    </xf>
    <xf numFmtId="3" fontId="22" fillId="4" borderId="63" xfId="2" applyNumberFormat="1" applyFont="1" applyFill="1" applyBorder="1" applyAlignment="1">
      <alignment horizontal="right" vertical="center"/>
    </xf>
    <xf numFmtId="3" fontId="15" fillId="0" borderId="63" xfId="2" applyNumberFormat="1" applyFont="1" applyFill="1" applyBorder="1" applyAlignment="1">
      <alignment horizontal="right" vertical="center"/>
    </xf>
    <xf numFmtId="3" fontId="3" fillId="4" borderId="65" xfId="2" applyNumberFormat="1" applyFont="1" applyFill="1" applyBorder="1" applyAlignment="1"/>
    <xf numFmtId="3" fontId="29" fillId="0" borderId="65" xfId="3" applyNumberFormat="1" applyFont="1" applyFill="1" applyBorder="1" applyAlignment="1">
      <alignment vertical="center"/>
    </xf>
    <xf numFmtId="3" fontId="3" fillId="2" borderId="62" xfId="2" applyNumberFormat="1" applyFont="1" applyFill="1" applyBorder="1" applyAlignment="1"/>
    <xf numFmtId="43" fontId="3" fillId="2" borderId="62" xfId="1" applyFont="1" applyFill="1" applyBorder="1" applyAlignment="1"/>
    <xf numFmtId="3" fontId="4" fillId="2" borderId="62" xfId="2" applyNumberFormat="1" applyFont="1" applyFill="1" applyBorder="1" applyAlignment="1"/>
    <xf numFmtId="3" fontId="4" fillId="2" borderId="65" xfId="2" applyNumberFormat="1" applyFont="1" applyFill="1" applyBorder="1" applyAlignment="1"/>
    <xf numFmtId="3" fontId="15" fillId="2" borderId="65" xfId="2" applyNumberFormat="1" applyFont="1" applyFill="1" applyBorder="1" applyAlignment="1"/>
    <xf numFmtId="43" fontId="1" fillId="0" borderId="68" xfId="1" applyFont="1" applyFill="1" applyBorder="1" applyAlignment="1">
      <alignment vertical="center"/>
    </xf>
    <xf numFmtId="3" fontId="1" fillId="0" borderId="85" xfId="3" applyNumberFormat="1" applyFont="1" applyFill="1" applyBorder="1" applyAlignment="1">
      <alignment vertical="center"/>
    </xf>
    <xf numFmtId="43" fontId="2" fillId="0" borderId="70" xfId="1" applyFont="1" applyFill="1" applyBorder="1" applyAlignment="1">
      <alignment horizontal="right" vertical="center"/>
    </xf>
    <xf numFmtId="43" fontId="1" fillId="0" borderId="62" xfId="1" applyFont="1" applyFill="1" applyBorder="1" applyAlignment="1">
      <alignment vertical="center"/>
    </xf>
    <xf numFmtId="3" fontId="22" fillId="15" borderId="59" xfId="2" applyNumberFormat="1" applyFont="1" applyFill="1" applyBorder="1" applyAlignment="1">
      <alignment horizontal="right" vertical="center"/>
    </xf>
    <xf numFmtId="3" fontId="22" fillId="15" borderId="60" xfId="2" applyNumberFormat="1" applyFont="1" applyFill="1" applyBorder="1" applyAlignment="1">
      <alignment horizontal="right" vertical="center"/>
    </xf>
    <xf numFmtId="3" fontId="15" fillId="2" borderId="77" xfId="2" applyNumberFormat="1" applyFont="1" applyFill="1" applyBorder="1" applyAlignment="1">
      <alignment vertical="top" wrapText="1"/>
    </xf>
    <xf numFmtId="3" fontId="15" fillId="0" borderId="79" xfId="2" applyNumberFormat="1" applyFont="1" applyFill="1" applyBorder="1" applyAlignment="1"/>
    <xf numFmtId="3" fontId="15" fillId="0" borderId="77" xfId="2" applyNumberFormat="1" applyFont="1" applyFill="1" applyBorder="1" applyAlignment="1"/>
    <xf numFmtId="165" fontId="29" fillId="0" borderId="77" xfId="3" applyNumberFormat="1" applyFont="1" applyFill="1" applyBorder="1" applyAlignment="1">
      <alignment vertical="center"/>
    </xf>
    <xf numFmtId="3" fontId="39" fillId="0" borderId="77" xfId="2" applyNumberFormat="1" applyFont="1" applyFill="1" applyBorder="1" applyAlignment="1"/>
    <xf numFmtId="165" fontId="29" fillId="0" borderId="80" xfId="3" applyNumberFormat="1" applyFont="1" applyFill="1" applyBorder="1" applyAlignment="1">
      <alignment vertical="center"/>
    </xf>
    <xf numFmtId="3" fontId="15" fillId="0" borderId="79" xfId="2" applyNumberFormat="1" applyFont="1" applyFill="1" applyBorder="1" applyAlignment="1">
      <alignment horizontal="right" vertical="center"/>
    </xf>
    <xf numFmtId="3" fontId="15" fillId="0" borderId="77" xfId="2" applyNumberFormat="1" applyFont="1" applyFill="1" applyBorder="1" applyAlignment="1">
      <alignment horizontal="right" vertical="center"/>
    </xf>
    <xf numFmtId="43" fontId="15" fillId="0" borderId="77" xfId="1" applyFont="1" applyFill="1" applyBorder="1" applyAlignment="1">
      <alignment horizontal="right" vertical="center"/>
    </xf>
    <xf numFmtId="43" fontId="15" fillId="0" borderId="78" xfId="1" applyFont="1" applyFill="1" applyBorder="1" applyAlignment="1">
      <alignment horizontal="right" vertical="center"/>
    </xf>
    <xf numFmtId="43" fontId="29" fillId="0" borderId="80" xfId="1" applyFont="1" applyFill="1" applyBorder="1" applyAlignment="1">
      <alignment vertical="center"/>
    </xf>
    <xf numFmtId="43" fontId="2" fillId="0" borderId="85" xfId="1" applyFont="1" applyFill="1" applyBorder="1" applyAlignment="1">
      <alignment horizontal="right" vertical="center"/>
    </xf>
    <xf numFmtId="0" fontId="2" fillId="0" borderId="94" xfId="2" applyFont="1" applyFill="1" applyBorder="1" applyAlignment="1">
      <alignment vertical="center"/>
    </xf>
    <xf numFmtId="3" fontId="1" fillId="0" borderId="93" xfId="3" applyNumberFormat="1" applyFont="1" applyFill="1" applyBorder="1" applyAlignment="1">
      <alignment vertical="center"/>
    </xf>
    <xf numFmtId="3" fontId="2" fillId="0" borderId="94" xfId="2" applyNumberFormat="1" applyFont="1" applyFill="1" applyBorder="1" applyAlignment="1">
      <alignment horizontal="right" vertical="center"/>
    </xf>
    <xf numFmtId="43" fontId="2" fillId="0" borderId="95" xfId="1" applyFont="1" applyFill="1" applyBorder="1" applyAlignment="1">
      <alignment horizontal="right" vertical="center"/>
    </xf>
    <xf numFmtId="3" fontId="4" fillId="0" borderId="93" xfId="2" applyNumberFormat="1" applyFont="1" applyFill="1" applyBorder="1" applyAlignment="1">
      <alignment horizontal="right" vertical="center"/>
    </xf>
    <xf numFmtId="165" fontId="2" fillId="0" borderId="94" xfId="2" applyNumberFormat="1" applyFont="1" applyFill="1" applyBorder="1" applyAlignment="1">
      <alignment horizontal="right" vertical="center"/>
    </xf>
    <xf numFmtId="43" fontId="2" fillId="0" borderId="91" xfId="1" applyFont="1" applyFill="1" applyBorder="1" applyAlignment="1">
      <alignment horizontal="right" vertical="center"/>
    </xf>
    <xf numFmtId="3" fontId="15" fillId="2" borderId="61" xfId="2" applyNumberFormat="1" applyFont="1" applyFill="1" applyBorder="1" applyAlignment="1">
      <alignment horizontal="right" vertical="center"/>
    </xf>
    <xf numFmtId="3" fontId="15" fillId="2" borderId="62" xfId="2" applyNumberFormat="1" applyFont="1" applyFill="1" applyBorder="1" applyAlignment="1">
      <alignment horizontal="right" vertical="center"/>
    </xf>
    <xf numFmtId="165" fontId="2" fillId="0" borderId="70" xfId="2" applyNumberFormat="1" applyFont="1" applyFill="1" applyBorder="1" applyAlignment="1">
      <alignment horizontal="right" vertical="center"/>
    </xf>
    <xf numFmtId="3" fontId="39" fillId="2" borderId="77" xfId="2" applyNumberFormat="1" applyFont="1" applyFill="1" applyBorder="1" applyAlignment="1">
      <alignment vertical="top" wrapText="1"/>
    </xf>
    <xf numFmtId="43" fontId="15" fillId="0" borderId="78" xfId="1" applyFont="1" applyFill="1" applyBorder="1" applyAlignment="1"/>
    <xf numFmtId="43" fontId="15" fillId="0" borderId="77" xfId="1" applyFont="1" applyFill="1" applyBorder="1" applyAlignment="1"/>
    <xf numFmtId="43" fontId="39" fillId="0" borderId="77" xfId="1" applyFont="1" applyFill="1" applyBorder="1" applyAlignment="1">
      <alignment horizontal="right" vertical="center"/>
    </xf>
    <xf numFmtId="3" fontId="2" fillId="2" borderId="62" xfId="2" applyNumberFormat="1" applyFont="1" applyFill="1" applyBorder="1" applyAlignment="1"/>
    <xf numFmtId="43" fontId="2" fillId="2" borderId="62" xfId="1" applyFont="1" applyFill="1" applyBorder="1" applyAlignment="1"/>
    <xf numFmtId="43" fontId="4" fillId="2" borderId="63" xfId="1" applyFont="1" applyFill="1" applyBorder="1" applyAlignment="1"/>
    <xf numFmtId="43" fontId="2" fillId="0" borderId="68" xfId="1" applyFont="1" applyFill="1" applyBorder="1" applyAlignment="1">
      <alignment horizontal="right"/>
    </xf>
    <xf numFmtId="43" fontId="2" fillId="0" borderId="85" xfId="1" applyFont="1" applyFill="1" applyBorder="1" applyAlignment="1">
      <alignment horizontal="right"/>
    </xf>
    <xf numFmtId="0" fontId="3" fillId="15" borderId="77" xfId="2" applyFont="1" applyFill="1" applyBorder="1" applyAlignment="1">
      <alignment vertical="top" wrapText="1"/>
    </xf>
    <xf numFmtId="0" fontId="4" fillId="0" borderId="62" xfId="2" applyFont="1" applyFill="1" applyBorder="1" applyAlignment="1">
      <alignment vertical="top"/>
    </xf>
    <xf numFmtId="3" fontId="4" fillId="0" borderId="65" xfId="2" applyNumberFormat="1" applyFont="1" applyFill="1" applyBorder="1" applyAlignment="1">
      <alignment horizontal="right" vertical="center"/>
    </xf>
    <xf numFmtId="0" fontId="4" fillId="0" borderId="68" xfId="2" applyFont="1" applyFill="1" applyBorder="1" applyAlignment="1">
      <alignment vertical="top"/>
    </xf>
    <xf numFmtId="43" fontId="4" fillId="2" borderId="68" xfId="1" applyFont="1" applyFill="1" applyBorder="1" applyAlignment="1"/>
    <xf numFmtId="3" fontId="4" fillId="2" borderId="68" xfId="2" applyNumberFormat="1" applyFont="1" applyFill="1" applyBorder="1" applyAlignment="1"/>
    <xf numFmtId="3" fontId="4" fillId="2" borderId="85" xfId="2" applyNumberFormat="1" applyFont="1" applyFill="1" applyBorder="1" applyAlignment="1"/>
    <xf numFmtId="0" fontId="22" fillId="4" borderId="94" xfId="2" applyFont="1" applyFill="1" applyBorder="1" applyAlignment="1">
      <alignment horizontal="left" vertical="center"/>
    </xf>
    <xf numFmtId="0" fontId="7" fillId="4" borderId="95" xfId="2" applyFont="1" applyFill="1" applyBorder="1" applyAlignment="1">
      <alignment horizontal="left" vertical="center"/>
    </xf>
    <xf numFmtId="3" fontId="3" fillId="4" borderId="117" xfId="2" applyNumberFormat="1" applyFont="1" applyFill="1" applyBorder="1" applyAlignment="1"/>
    <xf numFmtId="3" fontId="3" fillId="4" borderId="91" xfId="2" applyNumberFormat="1" applyFont="1" applyFill="1" applyBorder="1" applyAlignment="1"/>
    <xf numFmtId="165" fontId="3" fillId="4" borderId="94" xfId="2" applyNumberFormat="1" applyFont="1" applyFill="1" applyBorder="1" applyAlignment="1"/>
    <xf numFmtId="3" fontId="22" fillId="4" borderId="94" xfId="2" applyNumberFormat="1" applyFont="1" applyFill="1" applyBorder="1" applyAlignment="1">
      <alignment horizontal="right" vertical="center"/>
    </xf>
    <xf numFmtId="165" fontId="3" fillId="4" borderId="91" xfId="2" applyNumberFormat="1" applyFont="1" applyFill="1" applyBorder="1" applyAlignment="1"/>
    <xf numFmtId="3" fontId="39" fillId="0" borderId="77" xfId="2" applyNumberFormat="1" applyFont="1" applyFill="1" applyBorder="1" applyAlignment="1">
      <alignment horizontal="right" vertical="center"/>
    </xf>
    <xf numFmtId="0" fontId="2" fillId="0" borderId="62" xfId="2" applyFont="1" applyFill="1" applyBorder="1" applyAlignment="1">
      <alignment horizontal="left" vertical="center" wrapText="1"/>
    </xf>
    <xf numFmtId="3" fontId="2" fillId="2" borderId="62" xfId="2" applyNumberFormat="1" applyFont="1" applyFill="1" applyBorder="1" applyAlignment="1">
      <alignment vertical="center"/>
    </xf>
    <xf numFmtId="3" fontId="2" fillId="0" borderId="85" xfId="2" applyNumberFormat="1" applyFont="1" applyFill="1" applyBorder="1" applyAlignment="1">
      <alignment horizontal="right"/>
    </xf>
    <xf numFmtId="0" fontId="3" fillId="15" borderId="58" xfId="2" applyFont="1" applyFill="1" applyBorder="1" applyAlignment="1">
      <alignment horizontal="left" vertical="center" wrapText="1"/>
    </xf>
    <xf numFmtId="43" fontId="4" fillId="0" borderId="67" xfId="1" applyFont="1" applyFill="1" applyBorder="1" applyAlignment="1">
      <alignment horizontal="right" vertical="center"/>
    </xf>
    <xf numFmtId="43" fontId="15" fillId="0" borderId="70" xfId="1" applyFont="1" applyFill="1" applyBorder="1" applyAlignment="1">
      <alignment horizontal="right" vertical="center"/>
    </xf>
    <xf numFmtId="0" fontId="22" fillId="15" borderId="58" xfId="2" applyFont="1" applyFill="1" applyBorder="1" applyAlignment="1">
      <alignment vertical="top" wrapText="1"/>
    </xf>
    <xf numFmtId="0" fontId="6" fillId="15" borderId="59" xfId="2" applyFont="1" applyFill="1" applyBorder="1" applyAlignment="1">
      <alignment vertical="top" wrapText="1"/>
    </xf>
    <xf numFmtId="43" fontId="15" fillId="2" borderId="64" xfId="1" applyFont="1" applyFill="1" applyBorder="1" applyAlignment="1"/>
    <xf numFmtId="43" fontId="2" fillId="2" borderId="68" xfId="1" applyFont="1" applyFill="1" applyBorder="1" applyAlignment="1"/>
    <xf numFmtId="43" fontId="4" fillId="2" borderId="69" xfId="1" applyFont="1" applyFill="1" applyBorder="1" applyAlignment="1"/>
    <xf numFmtId="43" fontId="1" fillId="0" borderId="70" xfId="1" applyFont="1" applyFill="1" applyBorder="1" applyAlignment="1">
      <alignment vertical="center"/>
    </xf>
    <xf numFmtId="0" fontId="22" fillId="15" borderId="77" xfId="2" applyFont="1" applyFill="1" applyBorder="1" applyAlignment="1">
      <alignment vertical="top" wrapText="1"/>
    </xf>
    <xf numFmtId="3" fontId="22" fillId="15" borderId="79" xfId="2" applyNumberFormat="1" applyFont="1" applyFill="1" applyBorder="1" applyAlignment="1">
      <alignment horizontal="right" vertical="center"/>
    </xf>
    <xf numFmtId="3" fontId="22" fillId="15" borderId="77" xfId="2" applyNumberFormat="1" applyFont="1" applyFill="1" applyBorder="1" applyAlignment="1">
      <alignment horizontal="right" vertical="center"/>
    </xf>
    <xf numFmtId="3" fontId="22" fillId="15" borderId="78" xfId="2" applyNumberFormat="1" applyFont="1" applyFill="1" applyBorder="1" applyAlignment="1">
      <alignment horizontal="right" vertical="center"/>
    </xf>
    <xf numFmtId="3" fontId="22" fillId="15" borderId="80" xfId="2" applyNumberFormat="1" applyFont="1" applyFill="1" applyBorder="1" applyAlignment="1">
      <alignment horizontal="right" vertical="center"/>
    </xf>
    <xf numFmtId="43" fontId="22" fillId="4" borderId="62" xfId="1" applyFont="1" applyFill="1" applyBorder="1" applyAlignment="1">
      <alignment horizontal="right" vertical="center"/>
    </xf>
    <xf numFmtId="43" fontId="15" fillId="0" borderId="62" xfId="1" applyFont="1" applyFill="1" applyBorder="1" applyAlignment="1">
      <alignment horizontal="right" vertical="center"/>
    </xf>
    <xf numFmtId="43" fontId="15" fillId="2" borderId="68" xfId="1" applyFont="1" applyFill="1" applyBorder="1" applyAlignment="1"/>
    <xf numFmtId="43" fontId="15" fillId="2" borderId="65" xfId="1" applyFont="1" applyFill="1" applyBorder="1" applyAlignment="1"/>
    <xf numFmtId="0" fontId="4" fillId="0" borderId="94" xfId="2" applyFont="1" applyFill="1" applyBorder="1" applyAlignment="1">
      <alignment vertical="top"/>
    </xf>
    <xf numFmtId="43" fontId="1" fillId="0" borderId="93" xfId="1" applyFont="1" applyFill="1" applyBorder="1" applyAlignment="1">
      <alignment vertical="center"/>
    </xf>
    <xf numFmtId="43" fontId="4" fillId="2" borderId="94" xfId="1" applyFont="1" applyFill="1" applyBorder="1" applyAlignment="1"/>
    <xf numFmtId="43" fontId="4" fillId="2" borderId="100" xfId="1" applyFont="1" applyFill="1" applyBorder="1" applyAlignment="1"/>
    <xf numFmtId="43" fontId="4" fillId="0" borderId="93" xfId="1" applyFont="1" applyFill="1" applyBorder="1" applyAlignment="1">
      <alignment horizontal="right" vertical="center"/>
    </xf>
    <xf numFmtId="43" fontId="1" fillId="0" borderId="94" xfId="1" applyFont="1" applyFill="1" applyBorder="1" applyAlignment="1">
      <alignment vertical="center"/>
    </xf>
    <xf numFmtId="43" fontId="1" fillId="0" borderId="91" xfId="1" applyFont="1" applyFill="1" applyBorder="1" applyAlignment="1">
      <alignment vertical="center"/>
    </xf>
    <xf numFmtId="3" fontId="22" fillId="4" borderId="61" xfId="2" applyNumberFormat="1" applyFont="1" applyFill="1" applyBorder="1" applyAlignment="1"/>
    <xf numFmtId="43" fontId="22" fillId="4" borderId="62" xfId="1" applyFont="1" applyFill="1" applyBorder="1" applyAlignment="1"/>
    <xf numFmtId="3" fontId="22" fillId="4" borderId="65" xfId="2" applyNumberFormat="1" applyFont="1" applyFill="1" applyBorder="1" applyAlignment="1">
      <alignment horizontal="right" vertical="center"/>
    </xf>
    <xf numFmtId="3" fontId="15" fillId="0" borderId="65" xfId="2" applyNumberFormat="1" applyFont="1" applyFill="1" applyBorder="1" applyAlignment="1">
      <alignment horizontal="right" vertical="center"/>
    </xf>
    <xf numFmtId="3" fontId="4" fillId="0" borderId="85" xfId="2" applyNumberFormat="1" applyFont="1" applyFill="1" applyBorder="1" applyAlignment="1">
      <alignment horizontal="right" vertical="center"/>
    </xf>
    <xf numFmtId="0" fontId="3" fillId="18" borderId="58" xfId="2" applyFont="1" applyFill="1" applyBorder="1" applyAlignment="1">
      <alignment vertical="center"/>
    </xf>
    <xf numFmtId="0" fontId="6" fillId="18" borderId="59" xfId="2" applyFont="1" applyFill="1" applyBorder="1" applyAlignment="1">
      <alignment vertical="top" wrapText="1"/>
    </xf>
    <xf numFmtId="0" fontId="39" fillId="18" borderId="77" xfId="2" applyFont="1" applyFill="1" applyBorder="1" applyAlignment="1">
      <alignment horizontal="left" vertical="center"/>
    </xf>
    <xf numFmtId="165" fontId="39" fillId="18" borderId="77" xfId="2" applyNumberFormat="1" applyFont="1" applyFill="1" applyBorder="1" applyAlignment="1">
      <alignment horizontal="right" vertical="center"/>
    </xf>
    <xf numFmtId="165" fontId="39" fillId="18" borderId="80" xfId="2" applyNumberFormat="1" applyFont="1" applyFill="1" applyBorder="1" applyAlignment="1">
      <alignment horizontal="right" vertical="center"/>
    </xf>
    <xf numFmtId="165" fontId="2" fillId="18" borderId="64" xfId="2" applyNumberFormat="1" applyFont="1" applyFill="1" applyBorder="1" applyAlignment="1">
      <alignment horizontal="right" vertical="center"/>
    </xf>
    <xf numFmtId="3" fontId="15" fillId="18" borderId="61" xfId="2" applyNumberFormat="1" applyFont="1" applyFill="1" applyBorder="1" applyAlignment="1">
      <alignment horizontal="right" vertical="center"/>
    </xf>
    <xf numFmtId="43" fontId="39" fillId="18" borderId="80" xfId="1" applyFont="1" applyFill="1" applyBorder="1" applyAlignment="1">
      <alignment horizontal="right" vertical="center"/>
    </xf>
    <xf numFmtId="43" fontId="2" fillId="18" borderId="64" xfId="1" applyFont="1" applyFill="1" applyBorder="1" applyAlignment="1">
      <alignment horizontal="right" vertical="center"/>
    </xf>
    <xf numFmtId="3" fontId="22" fillId="20" borderId="61" xfId="2" applyNumberFormat="1" applyFont="1" applyFill="1" applyBorder="1" applyAlignment="1">
      <alignment horizontal="right" vertical="center"/>
    </xf>
    <xf numFmtId="0" fontId="15" fillId="18" borderId="77" xfId="2" applyFont="1" applyFill="1" applyBorder="1" applyAlignment="1">
      <alignment vertical="top"/>
    </xf>
    <xf numFmtId="3" fontId="15" fillId="18" borderId="79" xfId="2" applyNumberFormat="1" applyFont="1" applyFill="1" applyBorder="1" applyAlignment="1">
      <alignment horizontal="right" vertical="center"/>
    </xf>
    <xf numFmtId="0" fontId="2" fillId="18" borderId="68" xfId="2" applyFont="1" applyFill="1" applyBorder="1" applyAlignment="1">
      <alignment vertical="top"/>
    </xf>
    <xf numFmtId="3" fontId="2" fillId="18" borderId="67" xfId="2" applyNumberFormat="1" applyFont="1" applyFill="1" applyBorder="1" applyAlignment="1">
      <alignment horizontal="right" vertical="center"/>
    </xf>
    <xf numFmtId="3" fontId="2" fillId="18" borderId="68" xfId="2" applyNumberFormat="1" applyFont="1" applyFill="1" applyBorder="1" applyAlignment="1">
      <alignment horizontal="right" vertical="center"/>
    </xf>
    <xf numFmtId="3" fontId="2" fillId="18" borderId="69" xfId="2" applyNumberFormat="1" applyFont="1" applyFill="1" applyBorder="1" applyAlignment="1">
      <alignment horizontal="right" vertical="center"/>
    </xf>
    <xf numFmtId="165" fontId="2" fillId="18" borderId="68" xfId="2" applyNumberFormat="1" applyFont="1" applyFill="1" applyBorder="1" applyAlignment="1">
      <alignment horizontal="right" vertical="center"/>
    </xf>
    <xf numFmtId="165" fontId="2" fillId="18" borderId="70" xfId="2" applyNumberFormat="1" applyFont="1" applyFill="1" applyBorder="1" applyAlignment="1">
      <alignment horizontal="right" vertical="center"/>
    </xf>
    <xf numFmtId="3" fontId="3" fillId="4" borderId="61" xfId="2" applyNumberFormat="1" applyFont="1" applyFill="1" applyBorder="1" applyAlignment="1">
      <alignment horizontal="right" vertical="center"/>
    </xf>
    <xf numFmtId="3" fontId="3" fillId="4" borderId="62" xfId="2" applyNumberFormat="1" applyFont="1" applyFill="1" applyBorder="1" applyAlignment="1">
      <alignment horizontal="right" vertical="center"/>
    </xf>
    <xf numFmtId="43" fontId="3" fillId="4" borderId="62" xfId="1" applyFont="1" applyFill="1" applyBorder="1" applyAlignment="1">
      <alignment horizontal="right" vertical="center"/>
    </xf>
    <xf numFmtId="43" fontId="3" fillId="4" borderId="65" xfId="1" applyFont="1" applyFill="1" applyBorder="1" applyAlignment="1">
      <alignment horizontal="right" vertical="center"/>
    </xf>
    <xf numFmtId="43" fontId="15" fillId="0" borderId="62" xfId="1" applyFont="1" applyFill="1" applyBorder="1" applyAlignment="1"/>
    <xf numFmtId="43" fontId="3" fillId="4" borderId="63" xfId="1" applyFont="1" applyFill="1" applyBorder="1" applyAlignment="1">
      <alignment horizontal="right" vertical="center"/>
    </xf>
    <xf numFmtId="0" fontId="3" fillId="19" borderId="17" xfId="2" applyFont="1" applyFill="1" applyBorder="1" applyAlignment="1">
      <alignment horizontal="center" vertical="top"/>
    </xf>
    <xf numFmtId="0" fontId="3" fillId="18" borderId="98" xfId="2" applyFont="1" applyFill="1" applyBorder="1" applyAlignment="1">
      <alignment vertical="center" wrapText="1"/>
    </xf>
    <xf numFmtId="0" fontId="3" fillId="19" borderId="7" xfId="2" applyFont="1" applyFill="1" applyBorder="1" applyAlignment="1">
      <alignment horizontal="center" vertical="top"/>
    </xf>
    <xf numFmtId="3" fontId="2" fillId="18" borderId="77" xfId="2" applyNumberFormat="1" applyFont="1" applyFill="1" applyBorder="1" applyAlignment="1">
      <alignment horizontal="right" vertical="center"/>
    </xf>
    <xf numFmtId="3" fontId="2" fillId="18" borderId="80" xfId="2" applyNumberFormat="1" applyFont="1" applyFill="1" applyBorder="1" applyAlignment="1">
      <alignment horizontal="right" vertical="center"/>
    </xf>
    <xf numFmtId="0" fontId="2" fillId="18" borderId="66" xfId="2" applyFont="1" applyFill="1" applyBorder="1" applyAlignment="1">
      <alignment vertical="top"/>
    </xf>
    <xf numFmtId="3" fontId="2" fillId="18" borderId="65" xfId="2" applyNumberFormat="1" applyFont="1" applyFill="1" applyBorder="1" applyAlignment="1">
      <alignment horizontal="right" vertical="center"/>
    </xf>
    <xf numFmtId="3" fontId="39" fillId="18" borderId="71" xfId="2" applyNumberFormat="1" applyFont="1" applyFill="1" applyBorder="1" applyAlignment="1">
      <alignment horizontal="right" vertical="center"/>
    </xf>
    <xf numFmtId="3" fontId="39" fillId="18" borderId="65" xfId="2" applyNumberFormat="1" applyFont="1" applyFill="1" applyBorder="1" applyAlignment="1">
      <alignment horizontal="right" vertical="center"/>
    </xf>
    <xf numFmtId="165" fontId="22" fillId="18" borderId="64" xfId="2" applyNumberFormat="1" applyFont="1" applyFill="1" applyBorder="1" applyAlignment="1">
      <alignment horizontal="right" vertical="center"/>
    </xf>
    <xf numFmtId="0" fontId="4" fillId="18" borderId="118" xfId="2" applyFont="1" applyFill="1" applyBorder="1" applyAlignment="1">
      <alignment vertical="top"/>
    </xf>
    <xf numFmtId="3" fontId="4" fillId="18" borderId="71" xfId="2" applyNumberFormat="1" applyFont="1" applyFill="1" applyBorder="1" applyAlignment="1">
      <alignment horizontal="right" vertical="center"/>
    </xf>
    <xf numFmtId="3" fontId="4" fillId="18" borderId="62" xfId="2" applyNumberFormat="1" applyFont="1" applyFill="1" applyBorder="1" applyAlignment="1">
      <alignment horizontal="right" vertical="center"/>
    </xf>
    <xf numFmtId="3" fontId="4" fillId="18" borderId="65" xfId="2" applyNumberFormat="1" applyFont="1" applyFill="1" applyBorder="1" applyAlignment="1">
      <alignment horizontal="right" vertical="center"/>
    </xf>
    <xf numFmtId="3" fontId="4" fillId="18" borderId="61" xfId="2" applyNumberFormat="1" applyFont="1" applyFill="1" applyBorder="1" applyAlignment="1">
      <alignment horizontal="right" vertical="center"/>
    </xf>
    <xf numFmtId="43" fontId="4" fillId="18" borderId="62" xfId="1" applyFont="1" applyFill="1" applyBorder="1" applyAlignment="1">
      <alignment horizontal="right" vertical="center"/>
    </xf>
    <xf numFmtId="43" fontId="4" fillId="18" borderId="64" xfId="1" applyFont="1" applyFill="1" applyBorder="1" applyAlignment="1">
      <alignment horizontal="right" vertical="center"/>
    </xf>
    <xf numFmtId="3" fontId="4" fillId="18" borderId="64" xfId="2" applyNumberFormat="1" applyFont="1" applyFill="1" applyBorder="1" applyAlignment="1">
      <alignment horizontal="right" vertical="center"/>
    </xf>
    <xf numFmtId="3" fontId="3" fillId="20" borderId="71" xfId="2" applyNumberFormat="1" applyFont="1" applyFill="1" applyBorder="1" applyAlignment="1">
      <alignment horizontal="right" vertical="center"/>
    </xf>
    <xf numFmtId="3" fontId="3" fillId="20" borderId="65" xfId="2" applyNumberFormat="1" applyFont="1" applyFill="1" applyBorder="1" applyAlignment="1">
      <alignment horizontal="right" vertical="center"/>
    </xf>
    <xf numFmtId="3" fontId="15" fillId="18" borderId="99" xfId="2" applyNumberFormat="1" applyFont="1" applyFill="1" applyBorder="1" applyAlignment="1">
      <alignment vertical="top" wrapText="1"/>
    </xf>
    <xf numFmtId="3" fontId="29" fillId="18" borderId="86" xfId="3" applyNumberFormat="1" applyFont="1" applyFill="1" applyBorder="1" applyAlignment="1">
      <alignment vertical="center"/>
    </xf>
    <xf numFmtId="3" fontId="29" fillId="18" borderId="84" xfId="3" applyNumberFormat="1" applyFont="1" applyFill="1" applyBorder="1" applyAlignment="1">
      <alignment vertical="center"/>
    </xf>
    <xf numFmtId="165" fontId="2" fillId="18" borderId="77" xfId="2" applyNumberFormat="1" applyFont="1" applyFill="1" applyBorder="1" applyAlignment="1">
      <alignment horizontal="right" vertical="center"/>
    </xf>
    <xf numFmtId="165" fontId="2" fillId="18" borderId="80" xfId="2" applyNumberFormat="1" applyFont="1" applyFill="1" applyBorder="1" applyAlignment="1">
      <alignment horizontal="right" vertical="center"/>
    </xf>
    <xf numFmtId="0" fontId="2" fillId="19" borderId="7" xfId="2" applyFont="1" applyFill="1" applyBorder="1" applyAlignment="1">
      <alignment horizontal="center" vertical="top"/>
    </xf>
    <xf numFmtId="0" fontId="2" fillId="18" borderId="66" xfId="2" applyFont="1" applyFill="1" applyBorder="1" applyAlignment="1">
      <alignment horizontal="left" vertical="center"/>
    </xf>
    <xf numFmtId="3" fontId="1" fillId="18" borderId="65" xfId="3" applyNumberFormat="1" applyFont="1" applyFill="1" applyBorder="1" applyAlignment="1">
      <alignment vertical="center"/>
    </xf>
    <xf numFmtId="0" fontId="3" fillId="18" borderId="66" xfId="2" applyFont="1" applyFill="1" applyBorder="1" applyAlignment="1">
      <alignment vertical="top"/>
    </xf>
    <xf numFmtId="3" fontId="18" fillId="18" borderId="71" xfId="3" applyNumberFormat="1" applyFont="1" applyFill="1" applyBorder="1" applyAlignment="1">
      <alignment vertical="center"/>
    </xf>
    <xf numFmtId="3" fontId="18" fillId="18" borderId="62" xfId="3" applyNumberFormat="1" applyFont="1" applyFill="1" applyBorder="1" applyAlignment="1">
      <alignment vertical="center"/>
    </xf>
    <xf numFmtId="3" fontId="18" fillId="18" borderId="65" xfId="3" applyNumberFormat="1" applyFont="1" applyFill="1" applyBorder="1" applyAlignment="1">
      <alignment vertical="center"/>
    </xf>
    <xf numFmtId="3" fontId="18" fillId="18" borderId="61" xfId="3" applyNumberFormat="1" applyFont="1" applyFill="1" applyBorder="1" applyAlignment="1">
      <alignment vertical="center"/>
    </xf>
    <xf numFmtId="0" fontId="18" fillId="0" borderId="0" xfId="0" applyFont="1"/>
    <xf numFmtId="3" fontId="1" fillId="18" borderId="117" xfId="3" applyNumberFormat="1" applyFont="1" applyFill="1" applyBorder="1" applyAlignment="1">
      <alignment vertical="center"/>
    </xf>
    <xf numFmtId="3" fontId="1" fillId="18" borderId="118" xfId="3" applyNumberFormat="1" applyFont="1" applyFill="1" applyBorder="1" applyAlignment="1">
      <alignment vertical="center"/>
    </xf>
    <xf numFmtId="0" fontId="2" fillId="19" borderId="11" xfId="2" applyFont="1" applyFill="1" applyBorder="1" applyAlignment="1">
      <alignment horizontal="center" vertical="top"/>
    </xf>
    <xf numFmtId="0" fontId="23" fillId="18" borderId="96" xfId="2" applyFont="1" applyFill="1" applyBorder="1" applyAlignment="1">
      <alignment vertical="top"/>
    </xf>
    <xf numFmtId="3" fontId="17" fillId="18" borderId="68" xfId="3" applyNumberFormat="1" applyFont="1" applyFill="1" applyBorder="1" applyAlignment="1">
      <alignment vertical="center"/>
    </xf>
    <xf numFmtId="0" fontId="3" fillId="15" borderId="18" xfId="0" applyFont="1" applyFill="1" applyBorder="1" applyAlignment="1">
      <alignment horizontal="left" vertical="center" wrapText="1"/>
    </xf>
    <xf numFmtId="43" fontId="2" fillId="15" borderId="17" xfId="1" applyFont="1" applyFill="1" applyBorder="1" applyAlignment="1">
      <alignment horizontal="right"/>
    </xf>
    <xf numFmtId="43" fontId="2" fillId="15" borderId="20" xfId="1" applyFont="1" applyFill="1" applyBorder="1" applyAlignment="1">
      <alignment horizontal="right"/>
    </xf>
    <xf numFmtId="3" fontId="2" fillId="15" borderId="20" xfId="1" applyNumberFormat="1" applyFont="1" applyFill="1" applyBorder="1" applyAlignment="1">
      <alignment horizontal="right" vertical="center"/>
    </xf>
    <xf numFmtId="43" fontId="2" fillId="15" borderId="81" xfId="1" applyFont="1" applyFill="1" applyBorder="1" applyAlignment="1">
      <alignment horizontal="right"/>
    </xf>
    <xf numFmtId="3" fontId="2" fillId="15" borderId="17" xfId="1" applyNumberFormat="1" applyFont="1" applyFill="1" applyBorder="1" applyAlignment="1">
      <alignment horizontal="right" vertical="center"/>
    </xf>
    <xf numFmtId="43" fontId="2" fillId="15" borderId="34" xfId="1" applyFont="1" applyFill="1" applyBorder="1" applyAlignment="1">
      <alignment horizontal="right"/>
    </xf>
    <xf numFmtId="3" fontId="2" fillId="15" borderId="34" xfId="1" applyNumberFormat="1" applyFont="1" applyFill="1" applyBorder="1" applyAlignment="1">
      <alignment horizontal="right" vertical="center"/>
    </xf>
    <xf numFmtId="0" fontId="22" fillId="4" borderId="118" xfId="2" applyFont="1" applyFill="1" applyBorder="1" applyAlignment="1">
      <alignment horizontal="left" vertical="center"/>
    </xf>
    <xf numFmtId="3" fontId="6" fillId="4" borderId="63" xfId="0" applyNumberFormat="1" applyFont="1" applyFill="1" applyBorder="1" applyAlignment="1">
      <alignment horizontal="right" vertical="center"/>
    </xf>
    <xf numFmtId="3" fontId="3" fillId="4" borderId="65" xfId="0" applyNumberFormat="1" applyFont="1" applyFill="1" applyBorder="1" applyAlignment="1">
      <alignment horizontal="right" vertical="center"/>
    </xf>
    <xf numFmtId="3" fontId="3" fillId="4" borderId="93" xfId="0" applyNumberFormat="1" applyFont="1" applyFill="1" applyBorder="1" applyAlignment="1">
      <alignment horizontal="right" vertical="center"/>
    </xf>
    <xf numFmtId="165" fontId="3" fillId="4" borderId="94" xfId="0" applyNumberFormat="1" applyFont="1" applyFill="1" applyBorder="1" applyAlignment="1">
      <alignment horizontal="right" vertical="center"/>
    </xf>
    <xf numFmtId="165" fontId="3" fillId="4" borderId="91" xfId="0" applyNumberFormat="1" applyFont="1" applyFill="1" applyBorder="1" applyAlignment="1">
      <alignment horizontal="right" vertical="center"/>
    </xf>
    <xf numFmtId="3" fontId="3" fillId="4" borderId="91" xfId="0" applyNumberFormat="1" applyFont="1" applyFill="1" applyBorder="1" applyAlignment="1">
      <alignment horizontal="right" vertical="center"/>
    </xf>
    <xf numFmtId="0" fontId="18" fillId="0" borderId="0" xfId="0" applyFont="1" applyAlignment="1"/>
    <xf numFmtId="3" fontId="18" fillId="0" borderId="61" xfId="3" applyNumberFormat="1" applyFont="1" applyFill="1" applyBorder="1" applyAlignment="1">
      <alignment vertical="center"/>
    </xf>
    <xf numFmtId="3" fontId="18" fillId="0" borderId="62" xfId="3" applyNumberFormat="1" applyFont="1" applyFill="1" applyBorder="1" applyAlignment="1">
      <alignment vertical="center"/>
    </xf>
    <xf numFmtId="3" fontId="18" fillId="0" borderId="62" xfId="3" applyNumberFormat="1" applyFont="1" applyFill="1" applyBorder="1" applyAlignment="1">
      <alignment horizontal="right" vertical="center"/>
    </xf>
    <xf numFmtId="3" fontId="18" fillId="0" borderId="65" xfId="3" applyNumberFormat="1" applyFont="1" applyFill="1" applyBorder="1" applyAlignment="1">
      <alignment horizontal="right" vertical="center"/>
    </xf>
    <xf numFmtId="165" fontId="3" fillId="2" borderId="94" xfId="0" applyNumberFormat="1" applyFont="1" applyFill="1" applyBorder="1" applyAlignment="1">
      <alignment horizontal="right" vertical="center"/>
    </xf>
    <xf numFmtId="165" fontId="3" fillId="2" borderId="91" xfId="0" applyNumberFormat="1" applyFont="1" applyFill="1" applyBorder="1" applyAlignment="1">
      <alignment horizontal="right" vertical="center"/>
    </xf>
    <xf numFmtId="3" fontId="18" fillId="0" borderId="64" xfId="3" applyNumberFormat="1" applyFont="1" applyFill="1" applyBorder="1" applyAlignment="1">
      <alignment horizontal="right" vertical="center"/>
    </xf>
    <xf numFmtId="3" fontId="4" fillId="0" borderId="62" xfId="0" applyNumberFormat="1" applyFont="1" applyFill="1" applyBorder="1" applyAlignment="1">
      <alignment horizontal="right" vertical="center"/>
    </xf>
    <xf numFmtId="3" fontId="2" fillId="0" borderId="62" xfId="0" applyNumberFormat="1" applyFont="1" applyFill="1" applyBorder="1" applyAlignment="1">
      <alignment horizontal="right" vertical="center"/>
    </xf>
    <xf numFmtId="3" fontId="2" fillId="0" borderId="65" xfId="0" applyNumberFormat="1" applyFont="1" applyFill="1" applyBorder="1" applyAlignment="1">
      <alignment horizontal="right" vertical="center"/>
    </xf>
    <xf numFmtId="43" fontId="4" fillId="2" borderId="94" xfId="1" applyFont="1" applyFill="1" applyBorder="1" applyAlignment="1">
      <alignment horizontal="right" vertical="center"/>
    </xf>
    <xf numFmtId="43" fontId="4" fillId="2" borderId="91" xfId="1" applyFont="1" applyFill="1" applyBorder="1" applyAlignment="1">
      <alignment horizontal="right" vertical="center"/>
    </xf>
    <xf numFmtId="0" fontId="2" fillId="0" borderId="66" xfId="0" applyFont="1" applyFill="1" applyBorder="1" applyAlignment="1">
      <alignment horizontal="left" vertical="center"/>
    </xf>
    <xf numFmtId="0" fontId="2" fillId="2" borderId="66" xfId="2" applyFont="1" applyFill="1" applyBorder="1" applyAlignment="1">
      <alignment vertical="top"/>
    </xf>
    <xf numFmtId="3" fontId="3" fillId="2" borderId="62" xfId="0" applyNumberFormat="1" applyFont="1" applyFill="1" applyBorder="1" applyAlignment="1">
      <alignment horizontal="right" vertical="center"/>
    </xf>
    <xf numFmtId="3" fontId="4" fillId="2" borderId="62" xfId="0" applyNumberFormat="1" applyFont="1" applyFill="1" applyBorder="1" applyAlignment="1">
      <alignment horizontal="right" vertical="center"/>
    </xf>
    <xf numFmtId="3" fontId="4" fillId="2" borderId="65" xfId="0" applyNumberFormat="1" applyFont="1" applyFill="1" applyBorder="1" applyAlignment="1">
      <alignment horizontal="right" vertical="center"/>
    </xf>
    <xf numFmtId="3" fontId="2" fillId="0" borderId="61" xfId="1" applyNumberFormat="1" applyFont="1" applyFill="1" applyBorder="1" applyAlignment="1">
      <alignment horizontal="right" vertical="center"/>
    </xf>
    <xf numFmtId="165" fontId="4" fillId="2" borderId="94" xfId="0" applyNumberFormat="1" applyFont="1" applyFill="1" applyBorder="1" applyAlignment="1">
      <alignment horizontal="right" vertical="center"/>
    </xf>
    <xf numFmtId="167" fontId="4" fillId="2" borderId="62" xfId="1" applyNumberFormat="1" applyFont="1" applyFill="1" applyBorder="1" applyAlignment="1">
      <alignment horizontal="right" vertical="center"/>
    </xf>
    <xf numFmtId="165" fontId="4" fillId="2" borderId="91" xfId="0" applyNumberFormat="1" applyFont="1" applyFill="1" applyBorder="1" applyAlignment="1">
      <alignment horizontal="right" vertical="center"/>
    </xf>
    <xf numFmtId="3" fontId="18" fillId="0" borderId="65" xfId="3" applyNumberFormat="1" applyFont="1" applyFill="1" applyBorder="1" applyAlignment="1">
      <alignment vertical="center"/>
    </xf>
    <xf numFmtId="167" fontId="3" fillId="0" borderId="62" xfId="1" applyNumberFormat="1" applyFont="1" applyFill="1" applyBorder="1" applyAlignment="1">
      <alignment horizontal="right"/>
    </xf>
    <xf numFmtId="3" fontId="1" fillId="0" borderId="65" xfId="3" applyNumberFormat="1" applyFont="1" applyFill="1" applyBorder="1" applyAlignment="1">
      <alignment vertical="center"/>
    </xf>
    <xf numFmtId="167" fontId="4" fillId="0" borderId="62" xfId="1" applyNumberFormat="1" applyFont="1" applyFill="1" applyBorder="1" applyAlignment="1">
      <alignment horizontal="right"/>
    </xf>
    <xf numFmtId="43" fontId="2" fillId="0" borderId="62" xfId="1" applyFont="1" applyFill="1" applyBorder="1" applyAlignment="1">
      <alignment horizontal="right"/>
    </xf>
    <xf numFmtId="3" fontId="2" fillId="0" borderId="62" xfId="1" applyNumberFormat="1" applyFont="1" applyFill="1" applyBorder="1" applyAlignment="1">
      <alignment horizontal="right" vertical="center"/>
    </xf>
    <xf numFmtId="3" fontId="2" fillId="0" borderId="65" xfId="1" applyNumberFormat="1" applyFont="1" applyFill="1" applyBorder="1" applyAlignment="1">
      <alignment horizontal="right" vertical="center"/>
    </xf>
    <xf numFmtId="167" fontId="2" fillId="0" borderId="62" xfId="1" applyNumberFormat="1" applyFont="1" applyFill="1" applyBorder="1" applyAlignment="1">
      <alignment horizontal="right"/>
    </xf>
    <xf numFmtId="167" fontId="3" fillId="4" borderId="94" xfId="1" applyNumberFormat="1" applyFont="1" applyFill="1" applyBorder="1" applyAlignment="1">
      <alignment horizontal="right" vertical="center"/>
    </xf>
    <xf numFmtId="3" fontId="18" fillId="0" borderId="63" xfId="3" applyNumberFormat="1" applyFont="1" applyFill="1" applyBorder="1" applyAlignment="1">
      <alignment vertical="center"/>
    </xf>
    <xf numFmtId="3" fontId="3" fillId="0" borderId="61" xfId="1" applyNumberFormat="1" applyFont="1" applyFill="1" applyBorder="1" applyAlignment="1">
      <alignment horizontal="right" vertical="center"/>
    </xf>
    <xf numFmtId="3" fontId="2" fillId="0" borderId="64" xfId="1" applyNumberFormat="1" applyFont="1" applyFill="1" applyBorder="1" applyAlignment="1">
      <alignment horizontal="right" vertical="center"/>
    </xf>
    <xf numFmtId="165" fontId="4" fillId="2" borderId="62" xfId="0" applyNumberFormat="1" applyFont="1" applyFill="1" applyBorder="1" applyAlignment="1">
      <alignment horizontal="right" vertical="center"/>
    </xf>
    <xf numFmtId="3" fontId="2" fillId="0" borderId="63" xfId="1" applyNumberFormat="1" applyFont="1" applyFill="1" applyBorder="1" applyAlignment="1">
      <alignment horizontal="right" vertical="center"/>
    </xf>
    <xf numFmtId="3" fontId="3" fillId="0" borderId="62" xfId="1" applyNumberFormat="1" applyFont="1" applyFill="1" applyBorder="1" applyAlignment="1">
      <alignment horizontal="right" vertical="center"/>
    </xf>
    <xf numFmtId="43" fontId="3" fillId="0" borderId="94" xfId="1" applyFont="1" applyFill="1" applyBorder="1" applyAlignment="1">
      <alignment horizontal="right"/>
    </xf>
    <xf numFmtId="3" fontId="3" fillId="0" borderId="94" xfId="1" applyNumberFormat="1" applyFont="1" applyFill="1" applyBorder="1" applyAlignment="1">
      <alignment horizontal="right" vertical="center"/>
    </xf>
    <xf numFmtId="3" fontId="1" fillId="0" borderId="94" xfId="3" applyNumberFormat="1" applyFont="1" applyFill="1" applyBorder="1" applyAlignment="1">
      <alignment vertical="center"/>
    </xf>
    <xf numFmtId="3" fontId="1" fillId="0" borderId="100" xfId="3" applyNumberFormat="1" applyFont="1" applyFill="1" applyBorder="1" applyAlignment="1">
      <alignment vertical="center"/>
    </xf>
    <xf numFmtId="43" fontId="3" fillId="2" borderId="94" xfId="1" applyFont="1" applyFill="1" applyBorder="1" applyAlignment="1">
      <alignment horizontal="right" vertical="center"/>
    </xf>
    <xf numFmtId="43" fontId="3" fillId="2" borderId="91" xfId="1" applyFont="1" applyFill="1" applyBorder="1" applyAlignment="1">
      <alignment horizontal="right" vertical="center"/>
    </xf>
    <xf numFmtId="0" fontId="2" fillId="0" borderId="96" xfId="2" applyFont="1" applyFill="1" applyBorder="1" applyAlignment="1">
      <alignment vertical="top"/>
    </xf>
    <xf numFmtId="3" fontId="2" fillId="0" borderId="68" xfId="1" applyNumberFormat="1" applyFont="1" applyFill="1" applyBorder="1" applyAlignment="1">
      <alignment horizontal="right" vertical="center"/>
    </xf>
    <xf numFmtId="3" fontId="2" fillId="0" borderId="85" xfId="1" applyNumberFormat="1" applyFont="1" applyFill="1" applyBorder="1" applyAlignment="1">
      <alignment horizontal="right" vertical="center"/>
    </xf>
    <xf numFmtId="3" fontId="2" fillId="0" borderId="67" xfId="1" applyNumberFormat="1" applyFont="1" applyFill="1" applyBorder="1" applyAlignment="1">
      <alignment horizontal="right" vertical="center"/>
    </xf>
    <xf numFmtId="165" fontId="3" fillId="2" borderId="68" xfId="0" applyNumberFormat="1" applyFont="1" applyFill="1" applyBorder="1" applyAlignment="1">
      <alignment horizontal="right" vertical="center"/>
    </xf>
    <xf numFmtId="167" fontId="2" fillId="0" borderId="68" xfId="1" applyNumberFormat="1" applyFont="1" applyFill="1" applyBorder="1" applyAlignment="1">
      <alignment horizontal="right"/>
    </xf>
    <xf numFmtId="165" fontId="3" fillId="2" borderId="70" xfId="0" applyNumberFormat="1" applyFont="1" applyFill="1" applyBorder="1" applyAlignment="1">
      <alignment horizontal="right" vertical="center"/>
    </xf>
    <xf numFmtId="3" fontId="39" fillId="0" borderId="62" xfId="2" applyNumberFormat="1" applyFont="1" applyFill="1" applyBorder="1" applyAlignment="1">
      <alignment horizontal="right" vertical="center"/>
    </xf>
    <xf numFmtId="43" fontId="2" fillId="0" borderId="13" xfId="1" applyFont="1" applyFill="1" applyBorder="1" applyAlignment="1">
      <alignment horizontal="right"/>
    </xf>
    <xf numFmtId="0" fontId="3" fillId="22" borderId="17" xfId="2" applyFont="1" applyFill="1" applyBorder="1" applyAlignment="1">
      <alignment vertical="top"/>
    </xf>
    <xf numFmtId="3" fontId="5" fillId="22" borderId="81" xfId="2" applyNumberFormat="1" applyFont="1" applyFill="1" applyBorder="1" applyAlignment="1">
      <alignment vertical="top" wrapText="1"/>
    </xf>
    <xf numFmtId="0" fontId="3" fillId="22" borderId="7" xfId="2" applyFont="1" applyFill="1" applyBorder="1" applyAlignment="1">
      <alignment vertical="top"/>
    </xf>
    <xf numFmtId="165" fontId="15" fillId="0" borderId="111" xfId="2" applyNumberFormat="1" applyFont="1" applyFill="1" applyBorder="1" applyAlignment="1">
      <alignment horizontal="right" vertical="center"/>
    </xf>
    <xf numFmtId="3" fontId="5" fillId="22" borderId="6" xfId="2" applyNumberFormat="1" applyFont="1" applyFill="1" applyBorder="1" applyAlignment="1">
      <alignment vertical="top" wrapText="1"/>
    </xf>
    <xf numFmtId="0" fontId="3" fillId="22" borderId="11" xfId="2" applyFont="1" applyFill="1" applyBorder="1" applyAlignment="1">
      <alignment vertical="top"/>
    </xf>
    <xf numFmtId="0" fontId="15" fillId="0" borderId="13" xfId="0" applyFont="1" applyBorder="1" applyAlignment="1">
      <alignment horizontal="left" vertical="top"/>
    </xf>
    <xf numFmtId="0" fontId="27" fillId="0" borderId="31" xfId="0" quotePrefix="1" applyFont="1" applyBorder="1" applyAlignment="1">
      <alignment horizontal="center" vertical="top"/>
    </xf>
    <xf numFmtId="3" fontId="15" fillId="2" borderId="31" xfId="0" quotePrefix="1" applyNumberFormat="1" applyFont="1" applyFill="1" applyBorder="1" applyAlignment="1">
      <alignment vertical="center"/>
    </xf>
    <xf numFmtId="3" fontId="15" fillId="2" borderId="46" xfId="0" quotePrefix="1" applyNumberFormat="1" applyFont="1" applyFill="1" applyBorder="1" applyAlignment="1">
      <alignment vertical="top"/>
    </xf>
    <xf numFmtId="165" fontId="15" fillId="0" borderId="33" xfId="2" applyNumberFormat="1" applyFont="1" applyFill="1" applyBorder="1" applyAlignment="1">
      <alignment horizontal="right" vertical="center"/>
    </xf>
    <xf numFmtId="3" fontId="15" fillId="2" borderId="106" xfId="0" quotePrefix="1" applyNumberFormat="1" applyFont="1" applyFill="1" applyBorder="1" applyAlignment="1">
      <alignment vertical="top"/>
    </xf>
    <xf numFmtId="3" fontId="5" fillId="22" borderId="31" xfId="2" applyNumberFormat="1" applyFont="1" applyFill="1" applyBorder="1" applyAlignment="1">
      <alignment vertical="top" wrapText="1"/>
    </xf>
    <xf numFmtId="0" fontId="3" fillId="21" borderId="7" xfId="2" applyFont="1" applyFill="1" applyBorder="1" applyAlignment="1">
      <alignment vertical="top"/>
    </xf>
    <xf numFmtId="0" fontId="22" fillId="20" borderId="58" xfId="2" applyFont="1" applyFill="1" applyBorder="1" applyAlignment="1">
      <alignment horizontal="left" vertical="center"/>
    </xf>
    <xf numFmtId="0" fontId="7" fillId="20" borderId="59" xfId="2" applyFont="1" applyFill="1" applyBorder="1" applyAlignment="1">
      <alignment horizontal="left" vertical="center"/>
    </xf>
    <xf numFmtId="3" fontId="22" fillId="20" borderId="101" xfId="0" applyNumberFormat="1" applyFont="1" applyFill="1" applyBorder="1" applyAlignment="1">
      <alignment horizontal="right" vertical="center"/>
    </xf>
    <xf numFmtId="3" fontId="22" fillId="20" borderId="60" xfId="0" applyNumberFormat="1" applyFont="1" applyFill="1" applyBorder="1" applyAlignment="1">
      <alignment horizontal="right" vertical="center"/>
    </xf>
    <xf numFmtId="3" fontId="22" fillId="20" borderId="59" xfId="0" applyNumberFormat="1" applyFont="1" applyFill="1" applyBorder="1" applyAlignment="1">
      <alignment horizontal="right" vertical="center"/>
    </xf>
    <xf numFmtId="3" fontId="3" fillId="20" borderId="57" xfId="0" applyNumberFormat="1" applyFont="1" applyFill="1" applyBorder="1" applyAlignment="1">
      <alignment horizontal="right" vertical="center"/>
    </xf>
    <xf numFmtId="165" fontId="22" fillId="20" borderId="60" xfId="0" applyNumberFormat="1" applyFont="1" applyFill="1" applyBorder="1" applyAlignment="1">
      <alignment horizontal="right" vertical="center"/>
    </xf>
    <xf numFmtId="3" fontId="3" fillId="20" borderId="58" xfId="0" applyNumberFormat="1" applyFont="1" applyFill="1" applyBorder="1" applyAlignment="1">
      <alignment horizontal="right" vertical="center"/>
    </xf>
    <xf numFmtId="3" fontId="3" fillId="20" borderId="60" xfId="0" applyNumberFormat="1" applyFont="1" applyFill="1" applyBorder="1" applyAlignment="1">
      <alignment horizontal="right" vertical="center"/>
    </xf>
    <xf numFmtId="0" fontId="8" fillId="17" borderId="6" xfId="0" applyFont="1" applyFill="1" applyBorder="1" applyAlignment="1">
      <alignment vertical="top" wrapText="1"/>
    </xf>
    <xf numFmtId="0" fontId="39" fillId="21" borderId="77" xfId="2" applyFont="1" applyFill="1" applyBorder="1" applyAlignment="1">
      <alignment vertical="top" wrapText="1"/>
    </xf>
    <xf numFmtId="3" fontId="15" fillId="17" borderId="86" xfId="2" applyNumberFormat="1" applyFont="1" applyFill="1" applyBorder="1" applyAlignment="1">
      <alignment horizontal="right" vertical="center"/>
    </xf>
    <xf numFmtId="3" fontId="15" fillId="17" borderId="80" xfId="2" applyNumberFormat="1" applyFont="1" applyFill="1" applyBorder="1" applyAlignment="1">
      <alignment horizontal="right" vertical="center"/>
    </xf>
    <xf numFmtId="3" fontId="15" fillId="17" borderId="78" xfId="2" applyNumberFormat="1" applyFont="1" applyFill="1" applyBorder="1" applyAlignment="1">
      <alignment horizontal="right" vertical="center"/>
    </xf>
    <xf numFmtId="3" fontId="15" fillId="17" borderId="79" xfId="2" applyNumberFormat="1" applyFont="1" applyFill="1" applyBorder="1" applyAlignment="1">
      <alignment horizontal="right" vertical="center"/>
    </xf>
    <xf numFmtId="165" fontId="15" fillId="17" borderId="80" xfId="2" applyNumberFormat="1" applyFont="1" applyFill="1" applyBorder="1" applyAlignment="1">
      <alignment horizontal="right" vertical="center"/>
    </xf>
    <xf numFmtId="3" fontId="15" fillId="17" borderId="77" xfId="2" applyNumberFormat="1" applyFont="1" applyFill="1" applyBorder="1" applyAlignment="1">
      <alignment horizontal="right" vertical="center"/>
    </xf>
    <xf numFmtId="0" fontId="2" fillId="21" borderId="62" xfId="2" applyFont="1" applyFill="1" applyBorder="1" applyAlignment="1">
      <alignment vertical="top" wrapText="1"/>
    </xf>
    <xf numFmtId="3" fontId="4" fillId="17" borderId="71" xfId="2" applyNumberFormat="1" applyFont="1" applyFill="1" applyBorder="1" applyAlignment="1">
      <alignment horizontal="right" vertical="center"/>
    </xf>
    <xf numFmtId="3" fontId="4" fillId="17" borderId="64" xfId="2" applyNumberFormat="1" applyFont="1" applyFill="1" applyBorder="1" applyAlignment="1">
      <alignment horizontal="right" vertical="center"/>
    </xf>
    <xf numFmtId="3" fontId="4" fillId="17" borderId="63" xfId="2" applyNumberFormat="1" applyFont="1" applyFill="1" applyBorder="1" applyAlignment="1">
      <alignment horizontal="right" vertical="center"/>
    </xf>
    <xf numFmtId="3" fontId="2" fillId="17" borderId="71" xfId="2" applyNumberFormat="1" applyFont="1" applyFill="1" applyBorder="1" applyAlignment="1">
      <alignment horizontal="right" vertical="center"/>
    </xf>
    <xf numFmtId="165" fontId="4" fillId="17" borderId="64" xfId="2" applyNumberFormat="1" applyFont="1" applyFill="1" applyBorder="1" applyAlignment="1">
      <alignment horizontal="right" vertical="center"/>
    </xf>
    <xf numFmtId="3" fontId="2" fillId="17" borderId="62" xfId="2" applyNumberFormat="1" applyFont="1" applyFill="1" applyBorder="1" applyAlignment="1">
      <alignment horizontal="right" vertical="center"/>
    </xf>
    <xf numFmtId="3" fontId="2" fillId="17" borderId="64" xfId="2" applyNumberFormat="1" applyFont="1" applyFill="1" applyBorder="1" applyAlignment="1">
      <alignment horizontal="right" vertical="center"/>
    </xf>
    <xf numFmtId="3" fontId="2" fillId="17" borderId="62" xfId="2" applyNumberFormat="1" applyFont="1" applyFill="1" applyBorder="1" applyAlignment="1">
      <alignment vertical="top" wrapText="1"/>
    </xf>
    <xf numFmtId="3" fontId="2" fillId="17" borderId="61" xfId="2" applyNumberFormat="1" applyFont="1" applyFill="1" applyBorder="1" applyAlignment="1">
      <alignment horizontal="right" vertical="center"/>
    </xf>
    <xf numFmtId="43" fontId="4" fillId="17" borderId="64" xfId="1" applyFont="1" applyFill="1" applyBorder="1" applyAlignment="1">
      <alignment horizontal="right" vertical="center"/>
    </xf>
    <xf numFmtId="165" fontId="4" fillId="17" borderId="62" xfId="2" applyNumberFormat="1" applyFont="1" applyFill="1" applyBorder="1" applyAlignment="1">
      <alignment horizontal="right" vertical="center"/>
    </xf>
    <xf numFmtId="3" fontId="2" fillId="17" borderId="102" xfId="2" applyNumberFormat="1" applyFont="1" applyFill="1" applyBorder="1" applyAlignment="1">
      <alignment horizontal="right" vertical="center"/>
    </xf>
    <xf numFmtId="0" fontId="2" fillId="17" borderId="62" xfId="2" applyFont="1" applyFill="1" applyBorder="1" applyAlignment="1">
      <alignment vertical="top"/>
    </xf>
    <xf numFmtId="3" fontId="4" fillId="17" borderId="62" xfId="2" applyNumberFormat="1" applyFont="1" applyFill="1" applyBorder="1" applyAlignment="1">
      <alignment horizontal="right" vertical="center"/>
    </xf>
    <xf numFmtId="3" fontId="2" fillId="17" borderId="66" xfId="2" applyNumberFormat="1" applyFont="1" applyFill="1" applyBorder="1" applyAlignment="1">
      <alignment horizontal="right" vertical="center"/>
    </xf>
    <xf numFmtId="3" fontId="22" fillId="20" borderId="71" xfId="2" applyNumberFormat="1" applyFont="1" applyFill="1" applyBorder="1" applyAlignment="1"/>
    <xf numFmtId="3" fontId="22" fillId="20" borderId="64" xfId="2" applyNumberFormat="1" applyFont="1" applyFill="1" applyBorder="1" applyAlignment="1"/>
    <xf numFmtId="3" fontId="22" fillId="20" borderId="62" xfId="2" applyNumberFormat="1" applyFont="1" applyFill="1" applyBorder="1" applyAlignment="1"/>
    <xf numFmtId="3" fontId="22" fillId="20" borderId="63" xfId="2" applyNumberFormat="1" applyFont="1" applyFill="1" applyBorder="1" applyAlignment="1"/>
    <xf numFmtId="3" fontId="3" fillId="20" borderId="61" xfId="2" applyNumberFormat="1" applyFont="1" applyFill="1" applyBorder="1" applyAlignment="1"/>
    <xf numFmtId="165" fontId="22" fillId="20" borderId="62" xfId="0" applyNumberFormat="1" applyFont="1" applyFill="1" applyBorder="1" applyAlignment="1">
      <alignment horizontal="right" vertical="center"/>
    </xf>
    <xf numFmtId="3" fontId="3" fillId="20" borderId="66" xfId="2" applyNumberFormat="1" applyFont="1" applyFill="1" applyBorder="1" applyAlignment="1"/>
    <xf numFmtId="165" fontId="22" fillId="20" borderId="64" xfId="0" applyNumberFormat="1" applyFont="1" applyFill="1" applyBorder="1" applyAlignment="1">
      <alignment horizontal="right" vertical="center"/>
    </xf>
    <xf numFmtId="3" fontId="3" fillId="20" borderId="80" xfId="0" applyNumberFormat="1" applyFont="1" applyFill="1" applyBorder="1" applyAlignment="1">
      <alignment horizontal="right" vertical="center"/>
    </xf>
    <xf numFmtId="3" fontId="15" fillId="17" borderId="77" xfId="2" applyNumberFormat="1" applyFont="1" applyFill="1" applyBorder="1" applyAlignment="1">
      <alignment vertical="top" wrapText="1"/>
    </xf>
    <xf numFmtId="165" fontId="15" fillId="17" borderId="77" xfId="2" applyNumberFormat="1" applyFont="1" applyFill="1" applyBorder="1" applyAlignment="1">
      <alignment horizontal="right" vertical="center"/>
    </xf>
    <xf numFmtId="3" fontId="15" fillId="17" borderId="99" xfId="2" applyNumberFormat="1" applyFont="1" applyFill="1" applyBorder="1" applyAlignment="1">
      <alignment horizontal="right" vertical="center"/>
    </xf>
    <xf numFmtId="0" fontId="3" fillId="21" borderId="11" xfId="2" applyFont="1" applyFill="1" applyBorder="1" applyAlignment="1">
      <alignment vertical="top"/>
    </xf>
    <xf numFmtId="0" fontId="2" fillId="17" borderId="68" xfId="2" applyFont="1" applyFill="1" applyBorder="1" applyAlignment="1">
      <alignment vertical="top"/>
    </xf>
    <xf numFmtId="3" fontId="2" fillId="17" borderId="72" xfId="2" applyNumberFormat="1" applyFont="1" applyFill="1" applyBorder="1" applyAlignment="1">
      <alignment horizontal="right" vertical="center"/>
    </xf>
    <xf numFmtId="3" fontId="4" fillId="17" borderId="70" xfId="2" applyNumberFormat="1" applyFont="1" applyFill="1" applyBorder="1" applyAlignment="1">
      <alignment horizontal="right" vertical="center"/>
    </xf>
    <xf numFmtId="3" fontId="4" fillId="17" borderId="68" xfId="2" applyNumberFormat="1" applyFont="1" applyFill="1" applyBorder="1" applyAlignment="1">
      <alignment horizontal="right" vertical="center"/>
    </xf>
    <xf numFmtId="3" fontId="4" fillId="17" borderId="69" xfId="2" applyNumberFormat="1" applyFont="1" applyFill="1" applyBorder="1" applyAlignment="1">
      <alignment horizontal="right" vertical="center"/>
    </xf>
    <xf numFmtId="3" fontId="2" fillId="17" borderId="67" xfId="2" applyNumberFormat="1" applyFont="1" applyFill="1" applyBorder="1" applyAlignment="1">
      <alignment horizontal="right" vertical="center"/>
    </xf>
    <xf numFmtId="165" fontId="2" fillId="17" borderId="64" xfId="2" applyNumberFormat="1" applyFont="1" applyFill="1" applyBorder="1" applyAlignment="1">
      <alignment horizontal="right" vertical="center"/>
    </xf>
    <xf numFmtId="43" fontId="2" fillId="17" borderId="68" xfId="1" applyFont="1" applyFill="1" applyBorder="1" applyAlignment="1">
      <alignment horizontal="right" vertical="center"/>
    </xf>
    <xf numFmtId="43" fontId="2" fillId="17" borderId="64" xfId="1" applyFont="1" applyFill="1" applyBorder="1" applyAlignment="1">
      <alignment horizontal="right" vertical="center"/>
    </xf>
    <xf numFmtId="0" fontId="8" fillId="17" borderId="31" xfId="0" applyFont="1" applyFill="1" applyBorder="1" applyAlignment="1">
      <alignment vertical="top" wrapText="1"/>
    </xf>
    <xf numFmtId="0" fontId="3" fillId="15" borderId="58" xfId="0" applyFont="1" applyFill="1" applyBorder="1" applyAlignment="1">
      <alignment horizontal="left" vertical="center" wrapText="1"/>
    </xf>
    <xf numFmtId="0" fontId="6" fillId="15" borderId="59" xfId="0" applyFont="1" applyFill="1" applyBorder="1" applyAlignment="1">
      <alignment horizontal="left" vertical="center" wrapText="1"/>
    </xf>
    <xf numFmtId="3" fontId="3" fillId="15" borderId="57" xfId="0" applyNumberFormat="1" applyFont="1" applyFill="1" applyBorder="1" applyAlignment="1">
      <alignment vertical="center"/>
    </xf>
    <xf numFmtId="3" fontId="3" fillId="15" borderId="58" xfId="0" applyNumberFormat="1" applyFont="1" applyFill="1" applyBorder="1" applyAlignment="1">
      <alignment vertical="center"/>
    </xf>
    <xf numFmtId="3" fontId="3" fillId="15" borderId="98" xfId="0" applyNumberFormat="1" applyFont="1" applyFill="1" applyBorder="1" applyAlignment="1">
      <alignment vertical="center"/>
    </xf>
    <xf numFmtId="3" fontId="3" fillId="15" borderId="59" xfId="0" applyNumberFormat="1" applyFont="1" applyFill="1" applyBorder="1" applyAlignment="1">
      <alignment vertical="center"/>
    </xf>
    <xf numFmtId="3" fontId="3" fillId="15" borderId="60" xfId="0" applyNumberFormat="1" applyFont="1" applyFill="1" applyBorder="1" applyAlignment="1">
      <alignment vertical="center"/>
    </xf>
    <xf numFmtId="3" fontId="3" fillId="4" borderId="102" xfId="0" applyNumberFormat="1" applyFont="1" applyFill="1" applyBorder="1" applyAlignment="1">
      <alignment horizontal="right" vertical="center"/>
    </xf>
    <xf numFmtId="3" fontId="3" fillId="4" borderId="66" xfId="0" applyNumberFormat="1" applyFont="1" applyFill="1" applyBorder="1" applyAlignment="1">
      <alignment horizontal="right" vertical="center"/>
    </xf>
    <xf numFmtId="165" fontId="3" fillId="4" borderId="62" xfId="2" applyNumberFormat="1" applyFont="1" applyFill="1" applyBorder="1" applyAlignment="1">
      <alignment horizontal="right" vertical="center"/>
    </xf>
    <xf numFmtId="43" fontId="3" fillId="4" borderId="64" xfId="1" applyFont="1" applyFill="1" applyBorder="1" applyAlignment="1">
      <alignment horizontal="right" vertical="center"/>
    </xf>
    <xf numFmtId="3" fontId="39" fillId="0" borderId="61" xfId="0" applyNumberFormat="1" applyFont="1" applyFill="1" applyBorder="1" applyAlignment="1">
      <alignment horizontal="right" vertical="center"/>
    </xf>
    <xf numFmtId="3" fontId="39" fillId="0" borderId="62" xfId="0" applyNumberFormat="1" applyFont="1" applyFill="1" applyBorder="1" applyAlignment="1">
      <alignment horizontal="right" vertical="center"/>
    </xf>
    <xf numFmtId="3" fontId="39" fillId="0" borderId="102" xfId="0" applyNumberFormat="1" applyFont="1" applyFill="1" applyBorder="1" applyAlignment="1">
      <alignment horizontal="right" vertical="center"/>
    </xf>
    <xf numFmtId="3" fontId="39" fillId="0" borderId="66" xfId="0" applyNumberFormat="1" applyFont="1" applyFill="1" applyBorder="1" applyAlignment="1">
      <alignment horizontal="right" vertical="center"/>
    </xf>
    <xf numFmtId="165" fontId="39" fillId="0" borderId="62" xfId="2" applyNumberFormat="1" applyFont="1" applyFill="1" applyBorder="1" applyAlignment="1">
      <alignment horizontal="right" vertical="center"/>
    </xf>
    <xf numFmtId="43" fontId="39" fillId="0" borderId="64" xfId="1" applyFont="1" applyFill="1" applyBorder="1" applyAlignment="1">
      <alignment horizontal="right" vertical="center"/>
    </xf>
    <xf numFmtId="0" fontId="2" fillId="0" borderId="62" xfId="0" applyFont="1" applyFill="1" applyBorder="1" applyAlignment="1">
      <alignment horizontal="left" vertical="center"/>
    </xf>
    <xf numFmtId="3" fontId="2" fillId="0" borderId="61" xfId="0" applyNumberFormat="1" applyFont="1" applyFill="1" applyBorder="1" applyAlignment="1">
      <alignment horizontal="right" vertical="center"/>
    </xf>
    <xf numFmtId="3" fontId="2" fillId="0" borderId="66" xfId="0" applyNumberFormat="1" applyFont="1" applyFill="1" applyBorder="1" applyAlignment="1">
      <alignment horizontal="right" vertical="center"/>
    </xf>
    <xf numFmtId="0" fontId="2" fillId="2" borderId="62" xfId="2" applyFont="1" applyFill="1" applyBorder="1" applyAlignment="1">
      <alignment vertical="top"/>
    </xf>
    <xf numFmtId="3" fontId="2" fillId="0" borderId="102" xfId="0" applyNumberFormat="1" applyFont="1" applyFill="1" applyBorder="1" applyAlignment="1">
      <alignment horizontal="right" vertical="center"/>
    </xf>
    <xf numFmtId="3" fontId="15" fillId="2" borderId="102" xfId="2" applyNumberFormat="1" applyFont="1" applyFill="1" applyBorder="1" applyAlignment="1"/>
    <xf numFmtId="3" fontId="4" fillId="0" borderId="61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3" fontId="4" fillId="0" borderId="102" xfId="0" applyNumberFormat="1" applyFont="1" applyFill="1" applyBorder="1" applyAlignment="1">
      <alignment horizontal="right" vertical="center"/>
    </xf>
    <xf numFmtId="0" fontId="2" fillId="2" borderId="68" xfId="2" applyFont="1" applyFill="1" applyBorder="1" applyAlignment="1">
      <alignment vertical="top"/>
    </xf>
    <xf numFmtId="3" fontId="4" fillId="0" borderId="66" xfId="0" applyNumberFormat="1" applyFont="1" applyFill="1" applyBorder="1" applyAlignment="1">
      <alignment horizontal="right" vertical="center"/>
    </xf>
    <xf numFmtId="43" fontId="1" fillId="0" borderId="103" xfId="1" applyFont="1" applyFill="1" applyBorder="1" applyAlignment="1">
      <alignment vertical="center"/>
    </xf>
    <xf numFmtId="43" fontId="2" fillId="0" borderId="66" xfId="1" applyFont="1" applyFill="1" applyBorder="1" applyAlignment="1">
      <alignment horizontal="right" vertical="center"/>
    </xf>
    <xf numFmtId="3" fontId="22" fillId="4" borderId="71" xfId="2" applyNumberFormat="1" applyFont="1" applyFill="1" applyBorder="1" applyAlignment="1">
      <alignment horizontal="right" vertical="center"/>
    </xf>
    <xf numFmtId="3" fontId="1" fillId="0" borderId="71" xfId="3" applyNumberFormat="1" applyFont="1" applyFill="1" applyBorder="1" applyAlignment="1">
      <alignment vertical="center"/>
    </xf>
    <xf numFmtId="3" fontId="1" fillId="0" borderId="64" xfId="3" applyNumberFormat="1" applyFont="1" applyFill="1" applyBorder="1" applyAlignment="1">
      <alignment vertical="center"/>
    </xf>
    <xf numFmtId="43" fontId="1" fillId="0" borderId="88" xfId="1" applyFont="1" applyBorder="1"/>
    <xf numFmtId="43" fontId="22" fillId="4" borderId="65" xfId="1" applyFont="1" applyFill="1" applyBorder="1" applyAlignment="1">
      <alignment horizontal="right" vertical="center"/>
    </xf>
    <xf numFmtId="43" fontId="15" fillId="0" borderId="65" xfId="1" applyFont="1" applyFill="1" applyBorder="1" applyAlignment="1">
      <alignment horizontal="right" vertical="center"/>
    </xf>
    <xf numFmtId="43" fontId="1" fillId="0" borderId="85" xfId="1" applyFont="1" applyFill="1" applyBorder="1" applyAlignment="1">
      <alignment vertical="center"/>
    </xf>
    <xf numFmtId="165" fontId="3" fillId="4" borderId="64" xfId="2" applyNumberFormat="1" applyFont="1" applyFill="1" applyBorder="1" applyAlignment="1">
      <alignment horizontal="right" vertical="center"/>
    </xf>
    <xf numFmtId="3" fontId="39" fillId="0" borderId="63" xfId="0" applyNumberFormat="1" applyFont="1" applyFill="1" applyBorder="1" applyAlignment="1">
      <alignment horizontal="right" vertical="center"/>
    </xf>
    <xf numFmtId="165" fontId="39" fillId="0" borderId="64" xfId="2" applyNumberFormat="1" applyFont="1" applyFill="1" applyBorder="1" applyAlignment="1">
      <alignment horizontal="right" vertical="center"/>
    </xf>
    <xf numFmtId="0" fontId="2" fillId="0" borderId="68" xfId="0" applyFont="1" applyFill="1" applyBorder="1" applyAlignment="1">
      <alignment horizontal="left" vertical="center"/>
    </xf>
    <xf numFmtId="3" fontId="2" fillId="0" borderId="68" xfId="0" applyNumberFormat="1" applyFont="1" applyFill="1" applyBorder="1" applyAlignment="1">
      <alignment horizontal="right" vertical="center"/>
    </xf>
    <xf numFmtId="3" fontId="4" fillId="0" borderId="68" xfId="0" applyNumberFormat="1" applyFont="1" applyFill="1" applyBorder="1" applyAlignment="1">
      <alignment horizontal="right" vertical="center"/>
    </xf>
    <xf numFmtId="3" fontId="2" fillId="0" borderId="69" xfId="0" applyNumberFormat="1" applyFont="1" applyFill="1" applyBorder="1" applyAlignment="1">
      <alignment horizontal="right" vertical="center"/>
    </xf>
    <xf numFmtId="3" fontId="4" fillId="0" borderId="71" xfId="2" applyNumberFormat="1" applyFont="1" applyFill="1" applyBorder="1" applyAlignment="1">
      <alignment horizontal="right" vertical="center"/>
    </xf>
    <xf numFmtId="3" fontId="22" fillId="4" borderId="62" xfId="2" applyNumberFormat="1" applyFont="1" applyFill="1" applyBorder="1" applyAlignment="1"/>
    <xf numFmtId="3" fontId="3" fillId="4" borderId="79" xfId="2" applyNumberFormat="1" applyFont="1" applyFill="1" applyBorder="1" applyAlignment="1">
      <alignment horizontal="right" vertical="center"/>
    </xf>
    <xf numFmtId="3" fontId="3" fillId="4" borderId="77" xfId="2" applyNumberFormat="1" applyFont="1" applyFill="1" applyBorder="1" applyAlignment="1">
      <alignment horizontal="right" vertical="center"/>
    </xf>
    <xf numFmtId="3" fontId="39" fillId="2" borderId="62" xfId="2" applyNumberFormat="1" applyFont="1" applyFill="1" applyBorder="1" applyAlignment="1">
      <alignment vertical="center" wrapText="1"/>
    </xf>
    <xf numFmtId="3" fontId="3" fillId="4" borderId="71" xfId="2" applyNumberFormat="1" applyFont="1" applyFill="1" applyBorder="1" applyAlignment="1">
      <alignment horizontal="right" vertical="center"/>
    </xf>
    <xf numFmtId="3" fontId="39" fillId="0" borderId="71" xfId="2" applyNumberFormat="1" applyFont="1" applyFill="1" applyBorder="1" applyAlignment="1">
      <alignment horizontal="right" vertical="center"/>
    </xf>
    <xf numFmtId="3" fontId="2" fillId="0" borderId="69" xfId="2" applyNumberFormat="1" applyFont="1" applyFill="1" applyBorder="1" applyAlignment="1">
      <alignment horizontal="right" vertical="center"/>
    </xf>
    <xf numFmtId="3" fontId="2" fillId="0" borderId="72" xfId="2" applyNumberFormat="1" applyFont="1" applyFill="1" applyBorder="1" applyAlignment="1">
      <alignment horizontal="right" vertical="center"/>
    </xf>
    <xf numFmtId="3" fontId="3" fillId="4" borderId="63" xfId="2" applyNumberFormat="1" applyFont="1" applyFill="1" applyBorder="1" applyAlignment="1">
      <alignment horizontal="right" vertical="center"/>
    </xf>
    <xf numFmtId="3" fontId="39" fillId="0" borderId="63" xfId="2" applyNumberFormat="1" applyFont="1" applyFill="1" applyBorder="1" applyAlignment="1">
      <alignment horizontal="right" vertical="center"/>
    </xf>
    <xf numFmtId="3" fontId="2" fillId="0" borderId="63" xfId="2" applyNumberFormat="1" applyFont="1" applyFill="1" applyBorder="1" applyAlignment="1">
      <alignment horizontal="right" vertical="center"/>
    </xf>
    <xf numFmtId="3" fontId="2" fillId="0" borderId="71" xfId="2" applyNumberFormat="1" applyFont="1" applyFill="1" applyBorder="1" applyAlignment="1">
      <alignment horizontal="right" vertical="center"/>
    </xf>
    <xf numFmtId="0" fontId="2" fillId="0" borderId="77" xfId="2" applyFont="1" applyFill="1" applyBorder="1" applyAlignment="1">
      <alignment vertical="top"/>
    </xf>
    <xf numFmtId="3" fontId="2" fillId="0" borderId="77" xfId="2" applyNumberFormat="1" applyFont="1" applyFill="1" applyBorder="1" applyAlignment="1">
      <alignment horizontal="right" vertical="center"/>
    </xf>
    <xf numFmtId="43" fontId="2" fillId="0" borderId="78" xfId="1" applyFont="1" applyFill="1" applyBorder="1" applyAlignment="1">
      <alignment horizontal="right" vertical="center"/>
    </xf>
    <xf numFmtId="3" fontId="2" fillId="0" borderId="79" xfId="2" applyNumberFormat="1" applyFont="1" applyFill="1" applyBorder="1" applyAlignment="1">
      <alignment horizontal="right" vertical="center"/>
    </xf>
    <xf numFmtId="3" fontId="2" fillId="0" borderId="13" xfId="2" applyNumberFormat="1" applyFont="1" applyFill="1" applyBorder="1" applyAlignment="1">
      <alignment horizontal="right" vertical="center"/>
    </xf>
    <xf numFmtId="3" fontId="4" fillId="0" borderId="72" xfId="2" applyNumberFormat="1" applyFont="1" applyFill="1" applyBorder="1" applyAlignment="1">
      <alignment horizontal="right" vertical="center"/>
    </xf>
    <xf numFmtId="164" fontId="4" fillId="0" borderId="68" xfId="2" applyNumberFormat="1" applyFont="1" applyFill="1" applyBorder="1" applyAlignment="1">
      <alignment horizontal="right" vertical="center"/>
    </xf>
    <xf numFmtId="164" fontId="4" fillId="0" borderId="70" xfId="2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/>
    <xf numFmtId="0" fontId="31" fillId="2" borderId="0" xfId="0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/>
    </xf>
    <xf numFmtId="0" fontId="27" fillId="2" borderId="0" xfId="0" applyFont="1" applyFill="1" applyBorder="1" applyAlignment="1">
      <alignment horizontal="right" vertical="center"/>
    </xf>
    <xf numFmtId="0" fontId="1" fillId="0" borderId="0" xfId="0" applyFont="1" applyBorder="1" applyAlignment="1"/>
    <xf numFmtId="0" fontId="12" fillId="2" borderId="0" xfId="2" applyFont="1" applyFill="1" applyBorder="1" applyAlignment="1">
      <alignment horizontal="center" vertical="center" wrapText="1"/>
    </xf>
    <xf numFmtId="0" fontId="45" fillId="0" borderId="0" xfId="2" applyFont="1" applyBorder="1" applyAlignment="1">
      <alignment horizontal="center" vertical="center" wrapText="1"/>
    </xf>
    <xf numFmtId="0" fontId="25" fillId="2" borderId="0" xfId="0" quotePrefix="1" applyFont="1" applyFill="1" applyBorder="1" applyAlignment="1">
      <alignment horizontal="center" vertical="top"/>
    </xf>
    <xf numFmtId="0" fontId="8" fillId="0" borderId="6" xfId="0" applyFont="1" applyBorder="1"/>
    <xf numFmtId="3" fontId="16" fillId="2" borderId="0" xfId="0" quotePrefix="1" applyNumberFormat="1" applyFont="1" applyFill="1" applyBorder="1" applyAlignment="1">
      <alignment horizontal="center" vertical="top"/>
    </xf>
    <xf numFmtId="0" fontId="8" fillId="0" borderId="6" xfId="0" applyFont="1" applyBorder="1" applyAlignment="1">
      <alignment vertical="center"/>
    </xf>
    <xf numFmtId="3" fontId="16" fillId="2" borderId="0" xfId="0" quotePrefix="1" applyNumberFormat="1" applyFont="1" applyFill="1" applyBorder="1" applyAlignment="1">
      <alignment horizontal="center" vertical="center"/>
    </xf>
    <xf numFmtId="3" fontId="15" fillId="2" borderId="105" xfId="0" quotePrefix="1" applyNumberFormat="1" applyFont="1" applyFill="1" applyBorder="1" applyAlignment="1">
      <alignment vertical="top"/>
    </xf>
    <xf numFmtId="3" fontId="15" fillId="2" borderId="43" xfId="0" quotePrefix="1" applyNumberFormat="1" applyFont="1" applyFill="1" applyBorder="1" applyAlignment="1">
      <alignment vertical="top"/>
    </xf>
    <xf numFmtId="3" fontId="3" fillId="4" borderId="57" xfId="2" applyNumberFormat="1" applyFont="1" applyFill="1" applyBorder="1" applyAlignment="1">
      <alignment horizontal="right" vertical="center"/>
    </xf>
    <xf numFmtId="3" fontId="3" fillId="4" borderId="58" xfId="2" applyNumberFormat="1" applyFont="1" applyFill="1" applyBorder="1" applyAlignment="1">
      <alignment horizontal="right" vertical="center"/>
    </xf>
    <xf numFmtId="3" fontId="3" fillId="4" borderId="59" xfId="2" applyNumberFormat="1" applyFont="1" applyFill="1" applyBorder="1" applyAlignment="1">
      <alignment horizontal="right" vertical="center"/>
    </xf>
    <xf numFmtId="3" fontId="3" fillId="4" borderId="104" xfId="2" applyNumberFormat="1" applyFont="1" applyFill="1" applyBorder="1" applyAlignment="1">
      <alignment horizontal="right" vertical="center"/>
    </xf>
    <xf numFmtId="3" fontId="3" fillId="4" borderId="98" xfId="2" applyNumberFormat="1" applyFont="1" applyFill="1" applyBorder="1" applyAlignment="1">
      <alignment horizontal="right" vertical="center"/>
    </xf>
    <xf numFmtId="3" fontId="3" fillId="4" borderId="60" xfId="2" applyNumberFormat="1" applyFont="1" applyFill="1" applyBorder="1" applyAlignment="1">
      <alignment horizontal="right" vertical="center"/>
    </xf>
    <xf numFmtId="3" fontId="5" fillId="6" borderId="0" xfId="2" applyNumberFormat="1" applyFont="1" applyFill="1" applyBorder="1" applyAlignment="1">
      <alignment horizontal="center" vertical="top"/>
    </xf>
    <xf numFmtId="3" fontId="39" fillId="6" borderId="62" xfId="2" applyNumberFormat="1" applyFont="1" applyFill="1" applyBorder="1" applyAlignment="1">
      <alignment vertical="top" wrapText="1"/>
    </xf>
    <xf numFmtId="3" fontId="39" fillId="6" borderId="61" xfId="2" applyNumberFormat="1" applyFont="1" applyFill="1" applyBorder="1" applyAlignment="1">
      <alignment horizontal="right" vertical="center"/>
    </xf>
    <xf numFmtId="3" fontId="39" fillId="6" borderId="62" xfId="2" applyNumberFormat="1" applyFont="1" applyFill="1" applyBorder="1" applyAlignment="1">
      <alignment horizontal="right" vertical="center"/>
    </xf>
    <xf numFmtId="3" fontId="39" fillId="6" borderId="63" xfId="2" applyNumberFormat="1" applyFont="1" applyFill="1" applyBorder="1" applyAlignment="1">
      <alignment horizontal="right" vertical="center"/>
    </xf>
    <xf numFmtId="3" fontId="39" fillId="6" borderId="102" xfId="2" applyNumberFormat="1" applyFont="1" applyFill="1" applyBorder="1" applyAlignment="1">
      <alignment horizontal="right" vertical="center"/>
    </xf>
    <xf numFmtId="3" fontId="39" fillId="6" borderId="66" xfId="2" applyNumberFormat="1" applyFont="1" applyFill="1" applyBorder="1" applyAlignment="1">
      <alignment horizontal="right" vertical="center"/>
    </xf>
    <xf numFmtId="3" fontId="39" fillId="6" borderId="64" xfId="2" applyNumberFormat="1" applyFont="1" applyFill="1" applyBorder="1" applyAlignment="1">
      <alignment horizontal="right" vertical="center"/>
    </xf>
    <xf numFmtId="3" fontId="1" fillId="6" borderId="71" xfId="0" applyNumberFormat="1" applyFont="1" applyFill="1" applyBorder="1"/>
    <xf numFmtId="3" fontId="1" fillId="6" borderId="62" xfId="0" applyNumberFormat="1" applyFont="1" applyFill="1" applyBorder="1"/>
    <xf numFmtId="3" fontId="1" fillId="6" borderId="63" xfId="0" applyNumberFormat="1" applyFont="1" applyFill="1" applyBorder="1"/>
    <xf numFmtId="3" fontId="1" fillId="6" borderId="102" xfId="0" applyNumberFormat="1" applyFont="1" applyFill="1" applyBorder="1"/>
    <xf numFmtId="3" fontId="1" fillId="6" borderId="66" xfId="0" applyNumberFormat="1" applyFont="1" applyFill="1" applyBorder="1"/>
    <xf numFmtId="3" fontId="1" fillId="6" borderId="64" xfId="0" applyNumberFormat="1" applyFont="1" applyFill="1" applyBorder="1"/>
    <xf numFmtId="3" fontId="2" fillId="6" borderId="66" xfId="2" applyNumberFormat="1" applyFont="1" applyFill="1" applyBorder="1" applyAlignment="1">
      <alignment horizontal="right" vertical="center"/>
    </xf>
    <xf numFmtId="3" fontId="2" fillId="6" borderId="64" xfId="2" applyNumberFormat="1" applyFont="1" applyFill="1" applyBorder="1" applyAlignment="1">
      <alignment horizontal="right" vertical="center"/>
    </xf>
    <xf numFmtId="3" fontId="39" fillId="6" borderId="71" xfId="2" applyNumberFormat="1" applyFont="1" applyFill="1" applyBorder="1" applyAlignment="1">
      <alignment horizontal="right" vertical="center"/>
    </xf>
    <xf numFmtId="164" fontId="39" fillId="6" borderId="62" xfId="2" applyNumberFormat="1" applyFont="1" applyFill="1" applyBorder="1" applyAlignment="1">
      <alignment horizontal="right" vertical="center"/>
    </xf>
    <xf numFmtId="164" fontId="23" fillId="6" borderId="62" xfId="2" applyNumberFormat="1" applyFont="1" applyFill="1" applyBorder="1" applyAlignment="1">
      <alignment horizontal="right" vertical="center"/>
    </xf>
    <xf numFmtId="164" fontId="24" fillId="6" borderId="62" xfId="2" applyNumberFormat="1" applyFont="1" applyFill="1" applyBorder="1" applyAlignment="1">
      <alignment horizontal="right" vertical="center"/>
    </xf>
    <xf numFmtId="3" fontId="1" fillId="6" borderId="64" xfId="3" applyNumberFormat="1" applyFont="1" applyFill="1" applyBorder="1" applyAlignment="1">
      <alignment vertical="center"/>
    </xf>
    <xf numFmtId="3" fontId="3" fillId="4" borderId="102" xfId="2" applyNumberFormat="1" applyFont="1" applyFill="1" applyBorder="1" applyAlignment="1">
      <alignment horizontal="right" vertical="center"/>
    </xf>
    <xf numFmtId="164" fontId="3" fillId="4" borderId="62" xfId="2" applyNumberFormat="1" applyFont="1" applyFill="1" applyBorder="1" applyAlignment="1">
      <alignment horizontal="right" vertical="center"/>
    </xf>
    <xf numFmtId="3" fontId="3" fillId="4" borderId="66" xfId="2" applyNumberFormat="1" applyFont="1" applyFill="1" applyBorder="1" applyAlignment="1">
      <alignment horizontal="right" vertical="center"/>
    </xf>
    <xf numFmtId="3" fontId="3" fillId="4" borderId="64" xfId="2" applyNumberFormat="1" applyFont="1" applyFill="1" applyBorder="1" applyAlignment="1">
      <alignment horizontal="right" vertical="center"/>
    </xf>
    <xf numFmtId="3" fontId="15" fillId="6" borderId="62" xfId="2" applyNumberFormat="1" applyFont="1" applyFill="1" applyBorder="1" applyAlignment="1">
      <alignment vertical="top" wrapText="1"/>
    </xf>
    <xf numFmtId="3" fontId="29" fillId="6" borderId="71" xfId="3" applyNumberFormat="1" applyFont="1" applyFill="1" applyBorder="1" applyAlignment="1">
      <alignment vertical="center"/>
    </xf>
    <xf numFmtId="3" fontId="29" fillId="6" borderId="62" xfId="3" applyNumberFormat="1" applyFont="1" applyFill="1" applyBorder="1" applyAlignment="1">
      <alignment vertical="center"/>
    </xf>
    <xf numFmtId="3" fontId="29" fillId="6" borderId="63" xfId="3" applyNumberFormat="1" applyFont="1" applyFill="1" applyBorder="1" applyAlignment="1">
      <alignment vertical="center"/>
    </xf>
    <xf numFmtId="3" fontId="29" fillId="6" borderId="102" xfId="3" applyNumberFormat="1" applyFont="1" applyFill="1" applyBorder="1" applyAlignment="1">
      <alignment vertical="center"/>
    </xf>
    <xf numFmtId="3" fontId="29" fillId="6" borderId="66" xfId="3" applyNumberFormat="1" applyFont="1" applyFill="1" applyBorder="1" applyAlignment="1">
      <alignment vertical="center"/>
    </xf>
    <xf numFmtId="3" fontId="29" fillId="6" borderId="64" xfId="3" applyNumberFormat="1" applyFont="1" applyFill="1" applyBorder="1" applyAlignment="1">
      <alignment vertical="center"/>
    </xf>
    <xf numFmtId="3" fontId="1" fillId="6" borderId="66" xfId="3" applyNumberFormat="1" applyFont="1" applyFill="1" applyBorder="1" applyAlignment="1">
      <alignment vertical="center"/>
    </xf>
    <xf numFmtId="0" fontId="2" fillId="6" borderId="68" xfId="2" applyFont="1" applyFill="1" applyBorder="1" applyAlignment="1">
      <alignment vertical="center"/>
    </xf>
    <xf numFmtId="3" fontId="1" fillId="6" borderId="72" xfId="3" applyNumberFormat="1" applyFont="1" applyFill="1" applyBorder="1" applyAlignment="1">
      <alignment vertical="center"/>
    </xf>
    <xf numFmtId="3" fontId="1" fillId="6" borderId="68" xfId="3" applyNumberFormat="1" applyFont="1" applyFill="1" applyBorder="1" applyAlignment="1">
      <alignment vertical="center"/>
    </xf>
    <xf numFmtId="3" fontId="1" fillId="6" borderId="69" xfId="3" applyNumberFormat="1" applyFont="1" applyFill="1" applyBorder="1" applyAlignment="1">
      <alignment vertical="center"/>
    </xf>
    <xf numFmtId="3" fontId="1" fillId="6" borderId="103" xfId="3" applyNumberFormat="1" applyFont="1" applyFill="1" applyBorder="1" applyAlignment="1">
      <alignment vertical="center"/>
    </xf>
    <xf numFmtId="164" fontId="24" fillId="6" borderId="68" xfId="2" applyNumberFormat="1" applyFont="1" applyFill="1" applyBorder="1" applyAlignment="1">
      <alignment horizontal="right" vertical="center"/>
    </xf>
    <xf numFmtId="3" fontId="1" fillId="6" borderId="96" xfId="3" applyNumberFormat="1" applyFont="1" applyFill="1" applyBorder="1" applyAlignment="1">
      <alignment vertical="center"/>
    </xf>
    <xf numFmtId="3" fontId="1" fillId="6" borderId="70" xfId="3" applyNumberFormat="1" applyFont="1" applyFill="1" applyBorder="1" applyAlignment="1">
      <alignment vertical="center"/>
    </xf>
    <xf numFmtId="0" fontId="3" fillId="9" borderId="58" xfId="2" applyFont="1" applyFill="1" applyBorder="1" applyAlignment="1">
      <alignment vertical="center" wrapText="1"/>
    </xf>
    <xf numFmtId="0" fontId="6" fillId="9" borderId="59" xfId="2" applyFont="1" applyFill="1" applyBorder="1" applyAlignment="1">
      <alignment horizontal="center" vertical="top" wrapText="1"/>
    </xf>
    <xf numFmtId="43" fontId="15" fillId="0" borderId="61" xfId="1" applyFont="1" applyFill="1" applyBorder="1" applyAlignment="1">
      <alignment horizontal="right" vertical="center"/>
    </xf>
    <xf numFmtId="43" fontId="23" fillId="0" borderId="62" xfId="1" applyFont="1" applyFill="1" applyBorder="1" applyAlignment="1">
      <alignment horizontal="right" vertical="center"/>
    </xf>
    <xf numFmtId="43" fontId="2" fillId="0" borderId="67" xfId="1" applyFont="1" applyFill="1" applyBorder="1" applyAlignment="1">
      <alignment horizontal="right" vertical="center"/>
    </xf>
    <xf numFmtId="43" fontId="23" fillId="0" borderId="68" xfId="1" applyFont="1" applyFill="1" applyBorder="1" applyAlignment="1">
      <alignment horizontal="right" vertical="center"/>
    </xf>
    <xf numFmtId="3" fontId="3" fillId="15" borderId="104" xfId="2" applyNumberFormat="1" applyFont="1" applyFill="1" applyBorder="1" applyAlignment="1">
      <alignment horizontal="right" vertical="center"/>
    </xf>
    <xf numFmtId="3" fontId="39" fillId="0" borderId="102" xfId="2" applyNumberFormat="1" applyFont="1" applyFill="1" applyBorder="1" applyAlignment="1">
      <alignment horizontal="right" vertical="center"/>
    </xf>
    <xf numFmtId="164" fontId="39" fillId="0" borderId="62" xfId="2" applyNumberFormat="1" applyFont="1" applyFill="1" applyBorder="1" applyAlignment="1">
      <alignment horizontal="right" vertical="center"/>
    </xf>
    <xf numFmtId="3" fontId="2" fillId="0" borderId="134" xfId="2" applyNumberFormat="1" applyFont="1" applyFill="1" applyBorder="1" applyAlignment="1">
      <alignment horizontal="right" vertical="center"/>
    </xf>
    <xf numFmtId="164" fontId="24" fillId="0" borderId="94" xfId="2" applyNumberFormat="1" applyFont="1" applyFill="1" applyBorder="1" applyAlignment="1">
      <alignment horizontal="right" vertical="center"/>
    </xf>
    <xf numFmtId="43" fontId="24" fillId="0" borderId="94" xfId="1" applyFont="1" applyFill="1" applyBorder="1" applyAlignment="1">
      <alignment horizontal="right" vertical="center"/>
    </xf>
    <xf numFmtId="3" fontId="2" fillId="0" borderId="91" xfId="2" applyNumberFormat="1" applyFont="1" applyFill="1" applyBorder="1" applyAlignment="1">
      <alignment horizontal="right" vertical="center"/>
    </xf>
    <xf numFmtId="164" fontId="15" fillId="0" borderId="62" xfId="2" applyNumberFormat="1" applyFont="1" applyFill="1" applyBorder="1" applyAlignment="1">
      <alignment horizontal="right" vertical="center"/>
    </xf>
    <xf numFmtId="164" fontId="23" fillId="0" borderId="68" xfId="2" applyNumberFormat="1" applyFont="1" applyFill="1" applyBorder="1" applyAlignment="1">
      <alignment horizontal="right" vertical="center"/>
    </xf>
    <xf numFmtId="0" fontId="3" fillId="15" borderId="98" xfId="2" applyFont="1" applyFill="1" applyBorder="1" applyAlignment="1">
      <alignment vertical="center" wrapText="1"/>
    </xf>
    <xf numFmtId="0" fontId="6" fillId="15" borderId="104" xfId="2" applyFont="1" applyFill="1" applyBorder="1" applyAlignment="1">
      <alignment horizontal="center" vertical="center" wrapText="1"/>
    </xf>
    <xf numFmtId="3" fontId="22" fillId="15" borderId="58" xfId="0" applyNumberFormat="1" applyFont="1" applyFill="1" applyBorder="1" applyAlignment="1">
      <alignment horizontal="center" vertical="center" wrapText="1"/>
    </xf>
    <xf numFmtId="3" fontId="22" fillId="15" borderId="60" xfId="0" applyNumberFormat="1" applyFont="1" applyFill="1" applyBorder="1" applyAlignment="1">
      <alignment horizontal="center" vertical="center" wrapText="1"/>
    </xf>
    <xf numFmtId="3" fontId="1" fillId="0" borderId="63" xfId="3" applyNumberFormat="1" applyFont="1" applyFill="1" applyBorder="1" applyAlignment="1">
      <alignment vertical="center"/>
    </xf>
    <xf numFmtId="164" fontId="23" fillId="0" borderId="6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96" xfId="2" applyFont="1" applyFill="1" applyBorder="1" applyAlignment="1">
      <alignment vertical="center"/>
    </xf>
    <xf numFmtId="0" fontId="3" fillId="15" borderId="60" xfId="2" applyFont="1" applyFill="1" applyBorder="1" applyAlignment="1">
      <alignment vertical="center" wrapText="1"/>
    </xf>
    <xf numFmtId="0" fontId="3" fillId="0" borderId="64" xfId="2" applyFont="1" applyFill="1" applyBorder="1" applyAlignment="1">
      <alignment horizontal="left" vertical="center"/>
    </xf>
    <xf numFmtId="164" fontId="22" fillId="4" borderId="102" xfId="2" applyNumberFormat="1" applyFont="1" applyFill="1" applyBorder="1" applyAlignment="1">
      <alignment horizontal="right" vertical="center"/>
    </xf>
    <xf numFmtId="3" fontId="6" fillId="6" borderId="0" xfId="2" applyNumberFormat="1" applyFont="1" applyFill="1" applyBorder="1" applyAlignment="1">
      <alignment horizontal="center" vertical="top"/>
    </xf>
    <xf numFmtId="3" fontId="18" fillId="0" borderId="0" xfId="0" applyNumberFormat="1" applyFont="1"/>
    <xf numFmtId="3" fontId="39" fillId="0" borderId="64" xfId="2" applyNumberFormat="1" applyFont="1" applyFill="1" applyBorder="1" applyAlignment="1">
      <alignment vertical="top" wrapText="1"/>
    </xf>
    <xf numFmtId="164" fontId="15" fillId="0" borderId="102" xfId="2" applyNumberFormat="1" applyFont="1" applyFill="1" applyBorder="1" applyAlignment="1">
      <alignment horizontal="right" vertical="center"/>
    </xf>
    <xf numFmtId="3" fontId="14" fillId="6" borderId="0" xfId="2" applyNumberFormat="1" applyFont="1" applyFill="1" applyBorder="1" applyAlignment="1">
      <alignment horizontal="center" vertical="top"/>
    </xf>
    <xf numFmtId="3" fontId="29" fillId="0" borderId="0" xfId="0" applyNumberFormat="1" applyFont="1"/>
    <xf numFmtId="0" fontId="29" fillId="0" borderId="0" xfId="0" applyFont="1"/>
    <xf numFmtId="164" fontId="23" fillId="0" borderId="102" xfId="2" applyNumberFormat="1" applyFont="1" applyFill="1" applyBorder="1" applyAlignment="1">
      <alignment horizontal="right" vertical="center"/>
    </xf>
    <xf numFmtId="0" fontId="39" fillId="0" borderId="64" xfId="2" applyFont="1" applyFill="1" applyBorder="1" applyAlignment="1">
      <alignment vertical="top"/>
    </xf>
    <xf numFmtId="3" fontId="29" fillId="0" borderId="79" xfId="3" applyNumberFormat="1" applyFont="1" applyFill="1" applyBorder="1" applyAlignment="1">
      <alignment vertical="center"/>
    </xf>
    <xf numFmtId="3" fontId="15" fillId="0" borderId="80" xfId="2" applyNumberFormat="1" applyFont="1" applyFill="1" applyBorder="1" applyAlignment="1">
      <alignment horizontal="right" vertical="center"/>
    </xf>
    <xf numFmtId="3" fontId="4" fillId="0" borderId="80" xfId="2" applyNumberFormat="1" applyFont="1" applyFill="1" applyBorder="1" applyAlignment="1">
      <alignment horizontal="right" vertical="center"/>
    </xf>
    <xf numFmtId="3" fontId="22" fillId="4" borderId="64" xfId="2" applyNumberFormat="1" applyFont="1" applyFill="1" applyBorder="1" applyAlignment="1"/>
    <xf numFmtId="3" fontId="4" fillId="0" borderId="15" xfId="2" applyNumberFormat="1" applyFont="1" applyFill="1" applyBorder="1" applyAlignment="1">
      <alignment horizontal="right" vertical="center"/>
    </xf>
    <xf numFmtId="3" fontId="4" fillId="0" borderId="13" xfId="2" applyNumberFormat="1" applyFont="1" applyFill="1" applyBorder="1" applyAlignment="1">
      <alignment horizontal="right" vertical="center"/>
    </xf>
    <xf numFmtId="164" fontId="23" fillId="0" borderId="103" xfId="2" applyNumberFormat="1" applyFont="1" applyFill="1" applyBorder="1" applyAlignment="1">
      <alignment horizontal="right" vertical="center"/>
    </xf>
    <xf numFmtId="0" fontId="3" fillId="15" borderId="80" xfId="2" applyFont="1" applyFill="1" applyBorder="1" applyAlignment="1">
      <alignment vertical="center" wrapText="1"/>
    </xf>
    <xf numFmtId="0" fontId="3" fillId="4" borderId="64" xfId="2" applyFont="1" applyFill="1" applyBorder="1" applyAlignment="1">
      <alignment horizontal="left" vertical="center"/>
    </xf>
    <xf numFmtId="164" fontId="22" fillId="4" borderId="62" xfId="2" applyNumberFormat="1" applyFont="1" applyFill="1" applyBorder="1" applyAlignment="1">
      <alignment horizontal="right" vertical="center"/>
    </xf>
    <xf numFmtId="3" fontId="22" fillId="4" borderId="62" xfId="2" applyNumberFormat="1" applyFont="1" applyFill="1" applyBorder="1" applyAlignment="1">
      <alignment horizontal="center" vertical="center"/>
    </xf>
    <xf numFmtId="164" fontId="23" fillId="0" borderId="62" xfId="2" applyNumberFormat="1" applyFont="1" applyFill="1" applyBorder="1" applyAlignment="1">
      <alignment horizontal="center" vertical="center"/>
    </xf>
    <xf numFmtId="164" fontId="24" fillId="0" borderId="62" xfId="2" applyNumberFormat="1" applyFont="1" applyFill="1" applyBorder="1" applyAlignment="1">
      <alignment horizontal="right" vertical="center"/>
    </xf>
    <xf numFmtId="3" fontId="2" fillId="0" borderId="80" xfId="2" applyNumberFormat="1" applyFont="1" applyFill="1" applyBorder="1" applyAlignment="1">
      <alignment horizontal="right" vertical="center"/>
    </xf>
    <xf numFmtId="3" fontId="4" fillId="0" borderId="70" xfId="2" applyNumberFormat="1" applyFont="1" applyFill="1" applyBorder="1" applyAlignment="1">
      <alignment horizontal="right" vertical="center"/>
    </xf>
    <xf numFmtId="164" fontId="23" fillId="0" borderId="68" xfId="2" applyNumberFormat="1" applyFont="1" applyFill="1" applyBorder="1" applyAlignment="1">
      <alignment horizontal="center" vertical="center"/>
    </xf>
    <xf numFmtId="164" fontId="3" fillId="4" borderId="64" xfId="2" applyNumberFormat="1" applyFont="1" applyFill="1" applyBorder="1" applyAlignment="1">
      <alignment horizontal="right" vertical="center"/>
    </xf>
    <xf numFmtId="164" fontId="39" fillId="0" borderId="64" xfId="2" applyNumberFormat="1" applyFont="1" applyFill="1" applyBorder="1" applyAlignment="1">
      <alignment horizontal="right" vertical="center"/>
    </xf>
    <xf numFmtId="164" fontId="24" fillId="0" borderId="64" xfId="2" applyNumberFormat="1" applyFont="1" applyFill="1" applyBorder="1" applyAlignment="1">
      <alignment horizontal="right" vertical="center"/>
    </xf>
    <xf numFmtId="3" fontId="22" fillId="4" borderId="102" xfId="2" applyNumberFormat="1" applyFont="1" applyFill="1" applyBorder="1" applyAlignment="1">
      <alignment horizontal="right" vertical="center"/>
    </xf>
    <xf numFmtId="3" fontId="15" fillId="0" borderId="102" xfId="2" applyNumberFormat="1" applyFont="1" applyFill="1" applyBorder="1" applyAlignment="1">
      <alignment horizontal="right" vertical="center"/>
    </xf>
    <xf numFmtId="3" fontId="4" fillId="0" borderId="102" xfId="2" applyNumberFormat="1" applyFont="1" applyFill="1" applyBorder="1" applyAlignment="1">
      <alignment horizontal="right" vertical="center"/>
    </xf>
    <xf numFmtId="3" fontId="2" fillId="0" borderId="102" xfId="2" applyNumberFormat="1" applyFont="1" applyFill="1" applyBorder="1" applyAlignment="1">
      <alignment horizontal="right" vertical="center"/>
    </xf>
    <xf numFmtId="3" fontId="29" fillId="0" borderId="102" xfId="3" applyNumberFormat="1" applyFont="1" applyFill="1" applyBorder="1" applyAlignment="1">
      <alignment vertical="center"/>
    </xf>
    <xf numFmtId="3" fontId="1" fillId="0" borderId="102" xfId="3" applyNumberFormat="1" applyFont="1" applyFill="1" applyBorder="1" applyAlignment="1">
      <alignment vertical="center"/>
    </xf>
    <xf numFmtId="3" fontId="2" fillId="0" borderId="103" xfId="2" applyNumberFormat="1" applyFont="1" applyFill="1" applyBorder="1" applyAlignment="1">
      <alignment horizontal="right" vertical="center"/>
    </xf>
    <xf numFmtId="3" fontId="22" fillId="4" borderId="66" xfId="2" applyNumberFormat="1" applyFont="1" applyFill="1" applyBorder="1" applyAlignment="1">
      <alignment horizontal="right" vertical="center"/>
    </xf>
    <xf numFmtId="3" fontId="4" fillId="0" borderId="66" xfId="2" applyNumberFormat="1" applyFont="1" applyFill="1" applyBorder="1" applyAlignment="1">
      <alignment horizontal="right" vertical="center"/>
    </xf>
    <xf numFmtId="3" fontId="29" fillId="0" borderId="66" xfId="3" applyNumberFormat="1" applyFont="1" applyFill="1" applyBorder="1" applyAlignment="1">
      <alignment vertical="center"/>
    </xf>
    <xf numFmtId="164" fontId="24" fillId="0" borderId="68" xfId="2" applyNumberFormat="1" applyFont="1" applyFill="1" applyBorder="1" applyAlignment="1">
      <alignment horizontal="right" vertical="center"/>
    </xf>
    <xf numFmtId="164" fontId="23" fillId="0" borderId="66" xfId="2" applyNumberFormat="1" applyFont="1" applyFill="1" applyBorder="1" applyAlignment="1">
      <alignment horizontal="right" vertical="center"/>
    </xf>
    <xf numFmtId="3" fontId="29" fillId="0" borderId="71" xfId="3" applyNumberFormat="1" applyFont="1" applyFill="1" applyBorder="1" applyAlignment="1">
      <alignment vertical="center"/>
    </xf>
    <xf numFmtId="164" fontId="15" fillId="0" borderId="66" xfId="2" applyNumberFormat="1" applyFont="1" applyFill="1" applyBorder="1" applyAlignment="1">
      <alignment horizontal="right" vertical="center"/>
    </xf>
    <xf numFmtId="43" fontId="24" fillId="0" borderId="62" xfId="1" applyFont="1" applyFill="1" applyBorder="1" applyAlignment="1">
      <alignment horizontal="right" vertical="center"/>
    </xf>
    <xf numFmtId="3" fontId="1" fillId="0" borderId="77" xfId="3" applyNumberFormat="1" applyFont="1" applyFill="1" applyBorder="1" applyAlignment="1">
      <alignment vertical="center"/>
    </xf>
    <xf numFmtId="43" fontId="1" fillId="0" borderId="77" xfId="1" applyFont="1" applyFill="1" applyBorder="1" applyAlignment="1">
      <alignment vertical="center"/>
    </xf>
    <xf numFmtId="43" fontId="1" fillId="0" borderId="80" xfId="1" applyFont="1" applyFill="1" applyBorder="1" applyAlignment="1">
      <alignment vertical="center"/>
    </xf>
    <xf numFmtId="164" fontId="24" fillId="0" borderId="77" xfId="2" applyNumberFormat="1" applyFont="1" applyFill="1" applyBorder="1" applyAlignment="1">
      <alignment horizontal="right" vertical="center"/>
    </xf>
    <xf numFmtId="43" fontId="24" fillId="0" borderId="77" xfId="1" applyFont="1" applyFill="1" applyBorder="1" applyAlignment="1">
      <alignment horizontal="right" vertical="center"/>
    </xf>
    <xf numFmtId="3" fontId="1" fillId="0" borderId="129" xfId="3" applyNumberFormat="1" applyFont="1" applyFill="1" applyBorder="1" applyAlignment="1">
      <alignment vertical="center"/>
    </xf>
    <xf numFmtId="3" fontId="24" fillId="0" borderId="64" xfId="2" applyNumberFormat="1" applyFont="1" applyFill="1" applyBorder="1" applyAlignment="1">
      <alignment horizontal="right" vertical="center"/>
    </xf>
    <xf numFmtId="3" fontId="24" fillId="0" borderId="70" xfId="2" applyNumberFormat="1" applyFont="1" applyFill="1" applyBorder="1" applyAlignment="1">
      <alignment horizontal="right" vertical="center"/>
    </xf>
    <xf numFmtId="164" fontId="15" fillId="0" borderId="64" xfId="2" applyNumberFormat="1" applyFont="1" applyFill="1" applyBorder="1" applyAlignment="1">
      <alignment horizontal="right" vertical="center"/>
    </xf>
    <xf numFmtId="164" fontId="23" fillId="0" borderId="64" xfId="2" applyNumberFormat="1" applyFont="1" applyFill="1" applyBorder="1" applyAlignment="1">
      <alignment horizontal="right" vertical="center"/>
    </xf>
    <xf numFmtId="3" fontId="22" fillId="0" borderId="62" xfId="2" applyNumberFormat="1" applyFont="1" applyFill="1" applyBorder="1" applyAlignment="1">
      <alignment horizontal="right" vertical="center"/>
    </xf>
    <xf numFmtId="164" fontId="23" fillId="0" borderId="70" xfId="2" applyNumberFormat="1" applyFont="1" applyFill="1" applyBorder="1" applyAlignment="1">
      <alignment horizontal="right" vertical="center"/>
    </xf>
    <xf numFmtId="3" fontId="3" fillId="15" borderId="101" xfId="2" applyNumberFormat="1" applyFont="1" applyFill="1" applyBorder="1" applyAlignment="1">
      <alignment horizontal="right" vertical="center"/>
    </xf>
    <xf numFmtId="3" fontId="15" fillId="2" borderId="68" xfId="2" applyNumberFormat="1" applyFont="1" applyFill="1" applyBorder="1" applyAlignment="1">
      <alignment vertical="top" wrapText="1"/>
    </xf>
    <xf numFmtId="3" fontId="29" fillId="0" borderId="72" xfId="3" applyNumberFormat="1" applyFont="1" applyFill="1" applyBorder="1" applyAlignment="1">
      <alignment vertical="center"/>
    </xf>
    <xf numFmtId="3" fontId="29" fillId="0" borderId="68" xfId="3" applyNumberFormat="1" applyFont="1" applyFill="1" applyBorder="1" applyAlignment="1">
      <alignment vertical="center"/>
    </xf>
    <xf numFmtId="3" fontId="29" fillId="0" borderId="103" xfId="3" applyNumberFormat="1" applyFont="1" applyFill="1" applyBorder="1" applyAlignment="1">
      <alignment vertical="center"/>
    </xf>
    <xf numFmtId="3" fontId="29" fillId="0" borderId="67" xfId="3" applyNumberFormat="1" applyFont="1" applyFill="1" applyBorder="1" applyAlignment="1">
      <alignment vertical="center"/>
    </xf>
    <xf numFmtId="0" fontId="1" fillId="0" borderId="13" xfId="0" applyFont="1" applyBorder="1"/>
    <xf numFmtId="3" fontId="29" fillId="0" borderId="96" xfId="3" applyNumberFormat="1" applyFont="1" applyFill="1" applyBorder="1" applyAlignment="1">
      <alignment vertical="center"/>
    </xf>
    <xf numFmtId="0" fontId="1" fillId="0" borderId="15" xfId="0" applyFont="1" applyBorder="1"/>
    <xf numFmtId="3" fontId="29" fillId="0" borderId="70" xfId="3" applyNumberFormat="1" applyFont="1" applyFill="1" applyBorder="1" applyAlignment="1">
      <alignment vertical="center"/>
    </xf>
    <xf numFmtId="0" fontId="2" fillId="0" borderId="58" xfId="2" applyFont="1" applyFill="1" applyBorder="1" applyAlignment="1">
      <alignment vertical="top"/>
    </xf>
    <xf numFmtId="3" fontId="1" fillId="0" borderId="101" xfId="3" applyNumberFormat="1" applyFont="1" applyFill="1" applyBorder="1" applyAlignment="1">
      <alignment vertical="center"/>
    </xf>
    <xf numFmtId="3" fontId="1" fillId="0" borderId="58" xfId="3" applyNumberFormat="1" applyFont="1" applyFill="1" applyBorder="1" applyAlignment="1">
      <alignment vertical="center"/>
    </xf>
    <xf numFmtId="3" fontId="1" fillId="0" borderId="104" xfId="3" applyNumberFormat="1" applyFont="1" applyFill="1" applyBorder="1" applyAlignment="1">
      <alignment vertical="center"/>
    </xf>
    <xf numFmtId="3" fontId="1" fillId="0" borderId="57" xfId="3" applyNumberFormat="1" applyFont="1" applyFill="1" applyBorder="1" applyAlignment="1">
      <alignment vertical="center"/>
    </xf>
    <xf numFmtId="0" fontId="1" fillId="0" borderId="20" xfId="0" applyFont="1" applyBorder="1"/>
    <xf numFmtId="3" fontId="1" fillId="0" borderId="98" xfId="3" applyNumberFormat="1" applyFont="1" applyFill="1" applyBorder="1" applyAlignment="1">
      <alignment vertical="center"/>
    </xf>
    <xf numFmtId="0" fontId="1" fillId="0" borderId="34" xfId="0" applyFont="1" applyBorder="1"/>
    <xf numFmtId="3" fontId="1" fillId="0" borderId="60" xfId="3" applyNumberFormat="1" applyFont="1" applyFill="1" applyBorder="1" applyAlignment="1">
      <alignment vertical="center"/>
    </xf>
    <xf numFmtId="0" fontId="1" fillId="0" borderId="8" xfId="0" applyFont="1" applyBorder="1"/>
    <xf numFmtId="0" fontId="1" fillId="0" borderId="10" xfId="0" applyFont="1" applyBorder="1"/>
    <xf numFmtId="3" fontId="1" fillId="0" borderId="66" xfId="3" applyNumberFormat="1" applyFont="1" applyFill="1" applyBorder="1" applyAlignment="1">
      <alignment vertical="center"/>
    </xf>
    <xf numFmtId="0" fontId="1" fillId="0" borderId="7" xfId="0" applyFont="1" applyBorder="1"/>
    <xf numFmtId="0" fontId="1" fillId="0" borderId="9" xfId="0" applyFont="1" applyBorder="1"/>
    <xf numFmtId="3" fontId="1" fillId="0" borderId="103" xfId="3" applyNumberFormat="1" applyFont="1" applyFill="1" applyBorder="1" applyAlignment="1">
      <alignment vertical="center"/>
    </xf>
    <xf numFmtId="3" fontId="1" fillId="0" borderId="96" xfId="3" applyNumberFormat="1" applyFont="1" applyFill="1" applyBorder="1" applyAlignment="1">
      <alignment vertical="center"/>
    </xf>
    <xf numFmtId="164" fontId="3" fillId="4" borderId="77" xfId="2" applyNumberFormat="1" applyFont="1" applyFill="1" applyBorder="1" applyAlignment="1">
      <alignment horizontal="right" vertical="center"/>
    </xf>
    <xf numFmtId="164" fontId="3" fillId="4" borderId="80" xfId="2" applyNumberFormat="1" applyFont="1" applyFill="1" applyBorder="1" applyAlignment="1">
      <alignment horizontal="right" vertical="center"/>
    </xf>
    <xf numFmtId="0" fontId="1" fillId="15" borderId="0" xfId="0" applyFont="1" applyFill="1"/>
    <xf numFmtId="3" fontId="22" fillId="4" borderId="22" xfId="2" applyNumberFormat="1" applyFont="1" applyFill="1" applyBorder="1" applyAlignment="1">
      <alignment horizontal="right" vertical="center"/>
    </xf>
    <xf numFmtId="164" fontId="22" fillId="4" borderId="22" xfId="2" applyNumberFormat="1" applyFont="1" applyFill="1" applyBorder="1" applyAlignment="1">
      <alignment horizontal="right" vertical="center"/>
    </xf>
    <xf numFmtId="3" fontId="15" fillId="0" borderId="22" xfId="2" applyNumberFormat="1" applyFont="1" applyFill="1" applyBorder="1" applyAlignment="1">
      <alignment horizontal="right" vertical="center"/>
    </xf>
    <xf numFmtId="164" fontId="15" fillId="0" borderId="22" xfId="2" applyNumberFormat="1" applyFont="1" applyFill="1" applyBorder="1" applyAlignment="1">
      <alignment horizontal="right" vertical="center"/>
    </xf>
    <xf numFmtId="3" fontId="1" fillId="0" borderId="22" xfId="3" applyNumberFormat="1" applyFont="1" applyFill="1" applyBorder="1" applyAlignment="1">
      <alignment vertical="center"/>
    </xf>
    <xf numFmtId="164" fontId="1" fillId="0" borderId="22" xfId="3" applyNumberFormat="1" applyFont="1" applyFill="1" applyBorder="1" applyAlignment="1">
      <alignment vertical="center"/>
    </xf>
    <xf numFmtId="3" fontId="29" fillId="0" borderId="22" xfId="3" applyNumberFormat="1" applyFont="1" applyFill="1" applyBorder="1" applyAlignment="1">
      <alignment vertical="center"/>
    </xf>
    <xf numFmtId="164" fontId="29" fillId="0" borderId="22" xfId="3" applyNumberFormat="1" applyFont="1" applyFill="1" applyBorder="1" applyAlignment="1">
      <alignment vertical="center"/>
    </xf>
    <xf numFmtId="43" fontId="29" fillId="0" borderId="22" xfId="1" applyFont="1" applyFill="1" applyBorder="1" applyAlignment="1">
      <alignment vertical="center"/>
    </xf>
    <xf numFmtId="43" fontId="1" fillId="0" borderId="22" xfId="1" applyFont="1" applyFill="1" applyBorder="1" applyAlignment="1">
      <alignment vertical="center"/>
    </xf>
    <xf numFmtId="3" fontId="3" fillId="4" borderId="22" xfId="2" applyNumberFormat="1" applyFont="1" applyFill="1" applyBorder="1" applyAlignment="1"/>
    <xf numFmtId="164" fontId="3" fillId="4" borderId="22" xfId="2" applyNumberFormat="1" applyFont="1" applyFill="1" applyBorder="1" applyAlignment="1"/>
    <xf numFmtId="43" fontId="3" fillId="4" borderId="22" xfId="1" applyFont="1" applyFill="1" applyBorder="1" applyAlignment="1"/>
    <xf numFmtId="3" fontId="29" fillId="0" borderId="25" xfId="3" applyNumberFormat="1" applyFont="1" applyFill="1" applyBorder="1" applyAlignment="1">
      <alignment vertical="center"/>
    </xf>
    <xf numFmtId="164" fontId="29" fillId="0" borderId="25" xfId="3" applyNumberFormat="1" applyFont="1" applyFill="1" applyBorder="1" applyAlignment="1">
      <alignment vertical="center"/>
    </xf>
    <xf numFmtId="43" fontId="29" fillId="0" borderId="25" xfId="1" applyFont="1" applyFill="1" applyBorder="1" applyAlignment="1">
      <alignment vertical="center"/>
    </xf>
    <xf numFmtId="3" fontId="1" fillId="0" borderId="33" xfId="3" applyNumberFormat="1" applyFont="1" applyFill="1" applyBorder="1" applyAlignment="1">
      <alignment vertical="center"/>
    </xf>
    <xf numFmtId="164" fontId="1" fillId="0" borderId="33" xfId="3" applyNumberFormat="1" applyFont="1" applyFill="1" applyBorder="1" applyAlignment="1">
      <alignment vertical="center"/>
    </xf>
    <xf numFmtId="43" fontId="1" fillId="0" borderId="33" xfId="1" applyFont="1" applyFill="1" applyBorder="1" applyAlignment="1">
      <alignment vertical="center"/>
    </xf>
    <xf numFmtId="0" fontId="1" fillId="0" borderId="40" xfId="0" applyFont="1" applyBorder="1"/>
    <xf numFmtId="0" fontId="1" fillId="0" borderId="19" xfId="0" applyFont="1" applyBorder="1"/>
    <xf numFmtId="0" fontId="8" fillId="0" borderId="19" xfId="0" applyFont="1" applyBorder="1"/>
    <xf numFmtId="0" fontId="8" fillId="0" borderId="87" xfId="0" applyFont="1" applyBorder="1"/>
    <xf numFmtId="0" fontId="1" fillId="0" borderId="47" xfId="0" applyFont="1" applyBorder="1"/>
    <xf numFmtId="0" fontId="8" fillId="0" borderId="88" xfId="0" applyFont="1" applyBorder="1"/>
    <xf numFmtId="0" fontId="1" fillId="0" borderId="46" xfId="0" applyFont="1" applyBorder="1"/>
    <xf numFmtId="0" fontId="1" fillId="0" borderId="12" xfId="0" applyFont="1" applyBorder="1"/>
    <xf numFmtId="0" fontId="8" fillId="0" borderId="12" xfId="0" applyFont="1" applyBorder="1"/>
    <xf numFmtId="0" fontId="8" fillId="0" borderId="92" xfId="0" applyFont="1" applyBorder="1"/>
    <xf numFmtId="0" fontId="3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26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3" fontId="25" fillId="0" borderId="0" xfId="0" applyNumberFormat="1" applyFont="1" applyFill="1" applyBorder="1" applyAlignment="1">
      <alignment vertical="top"/>
    </xf>
    <xf numFmtId="3" fontId="15" fillId="0" borderId="108" xfId="0" quotePrefix="1" applyNumberFormat="1" applyFont="1" applyFill="1" applyBorder="1" applyAlignment="1">
      <alignment vertical="center"/>
    </xf>
    <xf numFmtId="0" fontId="1" fillId="0" borderId="6" xfId="0" applyFont="1" applyBorder="1"/>
    <xf numFmtId="3" fontId="16" fillId="0" borderId="0" xfId="0" applyNumberFormat="1" applyFont="1" applyFill="1" applyBorder="1" applyAlignment="1">
      <alignment vertical="top"/>
    </xf>
    <xf numFmtId="3" fontId="15" fillId="0" borderId="111" xfId="0" quotePrefix="1" applyNumberFormat="1" applyFont="1" applyFill="1" applyBorder="1" applyAlignment="1">
      <alignment vertical="center"/>
    </xf>
    <xf numFmtId="3" fontId="15" fillId="2" borderId="123" xfId="0" quotePrefix="1" applyNumberFormat="1" applyFont="1" applyFill="1" applyBorder="1" applyAlignment="1">
      <alignment vertical="center"/>
    </xf>
    <xf numFmtId="165" fontId="15" fillId="0" borderId="150" xfId="2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165" fontId="15" fillId="0" borderId="28" xfId="2" applyNumberFormat="1" applyFont="1" applyFill="1" applyBorder="1" applyAlignment="1">
      <alignment horizontal="right" vertical="center"/>
    </xf>
    <xf numFmtId="0" fontId="3" fillId="4" borderId="20" xfId="2" applyFont="1" applyFill="1" applyBorder="1" applyAlignment="1">
      <alignment horizontal="left" vertical="center"/>
    </xf>
    <xf numFmtId="0" fontId="6" fillId="4" borderId="81" xfId="2" applyFont="1" applyFill="1" applyBorder="1" applyAlignment="1">
      <alignment horizontal="left" vertical="center"/>
    </xf>
    <xf numFmtId="3" fontId="3" fillId="4" borderId="101" xfId="0" applyNumberFormat="1" applyFont="1" applyFill="1" applyBorder="1" applyAlignment="1">
      <alignment vertical="center"/>
    </xf>
    <xf numFmtId="3" fontId="3" fillId="4" borderId="17" xfId="0" applyNumberFormat="1" applyFont="1" applyFill="1" applyBorder="1" applyAlignment="1">
      <alignment vertical="center"/>
    </xf>
    <xf numFmtId="3" fontId="3" fillId="4" borderId="58" xfId="0" applyNumberFormat="1" applyFont="1" applyFill="1" applyBorder="1" applyAlignment="1">
      <alignment vertical="center"/>
    </xf>
    <xf numFmtId="3" fontId="3" fillId="4" borderId="6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5" fillId="6" borderId="62" xfId="2" applyFont="1" applyFill="1" applyBorder="1" applyAlignment="1">
      <alignment vertical="center"/>
    </xf>
    <xf numFmtId="3" fontId="22" fillId="6" borderId="71" xfId="0" applyNumberFormat="1" applyFont="1" applyFill="1" applyBorder="1" applyAlignment="1">
      <alignment vertical="center"/>
    </xf>
    <xf numFmtId="164" fontId="22" fillId="6" borderId="62" xfId="0" applyNumberFormat="1" applyFont="1" applyFill="1" applyBorder="1" applyAlignment="1">
      <alignment vertical="center"/>
    </xf>
    <xf numFmtId="3" fontId="22" fillId="6" borderId="102" xfId="0" applyNumberFormat="1" applyFont="1" applyFill="1" applyBorder="1" applyAlignment="1">
      <alignment vertical="center"/>
    </xf>
    <xf numFmtId="3" fontId="22" fillId="6" borderId="64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4" fillId="6" borderId="62" xfId="2" applyFont="1" applyFill="1" applyBorder="1" applyAlignment="1">
      <alignment vertical="center"/>
    </xf>
    <xf numFmtId="3" fontId="4" fillId="6" borderId="86" xfId="0" applyNumberFormat="1" applyFont="1" applyFill="1" applyBorder="1" applyAlignment="1">
      <alignment vertical="center"/>
    </xf>
    <xf numFmtId="164" fontId="4" fillId="6" borderId="62" xfId="0" applyNumberFormat="1" applyFont="1" applyFill="1" applyBorder="1" applyAlignment="1">
      <alignment vertical="center"/>
    </xf>
    <xf numFmtId="3" fontId="4" fillId="6" borderId="129" xfId="0" applyNumberFormat="1" applyFont="1" applyFill="1" applyBorder="1" applyAlignment="1">
      <alignment vertical="center"/>
    </xf>
    <xf numFmtId="0" fontId="4" fillId="6" borderId="62" xfId="0" applyFont="1" applyFill="1" applyBorder="1" applyAlignment="1">
      <alignment vertical="top"/>
    </xf>
    <xf numFmtId="3" fontId="4" fillId="6" borderId="47" xfId="0" applyNumberFormat="1" applyFont="1" applyFill="1" applyBorder="1" applyAlignment="1">
      <alignment vertical="top"/>
    </xf>
    <xf numFmtId="3" fontId="4" fillId="6" borderId="7" xfId="0" applyNumberFormat="1" applyFont="1" applyFill="1" applyBorder="1" applyAlignment="1">
      <alignment vertical="top"/>
    </xf>
    <xf numFmtId="164" fontId="4" fillId="6" borderId="64" xfId="0" applyNumberFormat="1" applyFont="1" applyFill="1" applyBorder="1" applyAlignment="1">
      <alignment vertical="center"/>
    </xf>
    <xf numFmtId="3" fontId="4" fillId="6" borderId="8" xfId="0" applyNumberFormat="1" applyFont="1" applyFill="1" applyBorder="1" applyAlignment="1">
      <alignment vertical="top"/>
    </xf>
    <xf numFmtId="3" fontId="4" fillId="6" borderId="80" xfId="0" applyNumberFormat="1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4" fillId="6" borderId="8" xfId="0" applyFont="1" applyFill="1" applyBorder="1" applyAlignment="1">
      <alignment vertical="top"/>
    </xf>
    <xf numFmtId="3" fontId="4" fillId="6" borderId="117" xfId="0" applyNumberFormat="1" applyFont="1" applyFill="1" applyBorder="1" applyAlignment="1">
      <alignment vertical="top"/>
    </xf>
    <xf numFmtId="3" fontId="4" fillId="6" borderId="93" xfId="0" applyNumberFormat="1" applyFont="1" applyFill="1" applyBorder="1" applyAlignment="1">
      <alignment vertical="top"/>
    </xf>
    <xf numFmtId="3" fontId="4" fillId="6" borderId="94" xfId="0" applyNumberFormat="1" applyFont="1" applyFill="1" applyBorder="1" applyAlignment="1">
      <alignment vertical="top"/>
    </xf>
    <xf numFmtId="164" fontId="4" fillId="6" borderId="10" xfId="0" applyNumberFormat="1" applyFont="1" applyFill="1" applyBorder="1" applyAlignment="1">
      <alignment vertical="top"/>
    </xf>
    <xf numFmtId="0" fontId="4" fillId="6" borderId="94" xfId="0" applyFont="1" applyFill="1" applyBorder="1" applyAlignment="1">
      <alignment vertical="top" wrapText="1"/>
    </xf>
    <xf numFmtId="164" fontId="4" fillId="6" borderId="64" xfId="0" applyNumberFormat="1" applyFont="1" applyFill="1" applyBorder="1" applyAlignment="1">
      <alignment vertical="top"/>
    </xf>
    <xf numFmtId="3" fontId="4" fillId="6" borderId="61" xfId="0" applyNumberFormat="1" applyFont="1" applyFill="1" applyBorder="1" applyAlignment="1">
      <alignment vertical="top"/>
    </xf>
    <xf numFmtId="3" fontId="22" fillId="6" borderId="117" xfId="0" applyNumberFormat="1" applyFont="1" applyFill="1" applyBorder="1" applyAlignment="1">
      <alignment vertical="center"/>
    </xf>
    <xf numFmtId="3" fontId="22" fillId="6" borderId="61" xfId="0" applyNumberFormat="1" applyFont="1" applyFill="1" applyBorder="1" applyAlignment="1">
      <alignment vertical="center"/>
    </xf>
    <xf numFmtId="164" fontId="22" fillId="6" borderId="64" xfId="0" applyNumberFormat="1" applyFont="1" applyFill="1" applyBorder="1" applyAlignment="1">
      <alignment vertical="center"/>
    </xf>
    <xf numFmtId="3" fontId="22" fillId="6" borderId="94" xfId="0" applyNumberFormat="1" applyFont="1" applyFill="1" applyBorder="1" applyAlignment="1">
      <alignment vertical="center"/>
    </xf>
    <xf numFmtId="0" fontId="4" fillId="6" borderId="62" xfId="2" applyFont="1" applyFill="1" applyBorder="1" applyAlignment="1">
      <alignment vertical="top" wrapText="1"/>
    </xf>
    <xf numFmtId="3" fontId="4" fillId="6" borderId="62" xfId="0" applyNumberFormat="1" applyFont="1" applyFill="1" applyBorder="1" applyAlignment="1">
      <alignment vertical="top"/>
    </xf>
    <xf numFmtId="3" fontId="22" fillId="4" borderId="117" xfId="0" applyNumberFormat="1" applyFont="1" applyFill="1" applyBorder="1" applyAlignment="1">
      <alignment vertical="top"/>
    </xf>
    <xf numFmtId="3" fontId="22" fillId="4" borderId="79" xfId="0" applyNumberFormat="1" applyFont="1" applyFill="1" applyBorder="1" applyAlignment="1">
      <alignment vertical="top"/>
    </xf>
    <xf numFmtId="164" fontId="22" fillId="4" borderId="64" xfId="0" applyNumberFormat="1" applyFont="1" applyFill="1" applyBorder="1" applyAlignment="1">
      <alignment vertical="top"/>
    </xf>
    <xf numFmtId="3" fontId="22" fillId="4" borderId="77" xfId="0" applyNumberFormat="1" applyFont="1" applyFill="1" applyBorder="1" applyAlignment="1">
      <alignment vertical="top"/>
    </xf>
    <xf numFmtId="3" fontId="22" fillId="4" borderId="80" xfId="0" applyNumberFormat="1" applyFont="1" applyFill="1" applyBorder="1" applyAlignment="1">
      <alignment vertical="center"/>
    </xf>
    <xf numFmtId="0" fontId="15" fillId="17" borderId="8" xfId="2" applyFont="1" applyFill="1" applyBorder="1" applyAlignment="1">
      <alignment vertical="center"/>
    </xf>
    <xf numFmtId="3" fontId="22" fillId="17" borderId="117" xfId="0" applyNumberFormat="1" applyFont="1" applyFill="1" applyBorder="1" applyAlignment="1">
      <alignment vertical="center"/>
    </xf>
    <xf numFmtId="3" fontId="22" fillId="17" borderId="79" xfId="0" applyNumberFormat="1" applyFont="1" applyFill="1" applyBorder="1" applyAlignment="1">
      <alignment vertical="center"/>
    </xf>
    <xf numFmtId="164" fontId="22" fillId="17" borderId="10" xfId="0" applyNumberFormat="1" applyFont="1" applyFill="1" applyBorder="1" applyAlignment="1">
      <alignment vertical="center"/>
    </xf>
    <xf numFmtId="3" fontId="22" fillId="17" borderId="62" xfId="0" applyNumberFormat="1" applyFont="1" applyFill="1" applyBorder="1" applyAlignment="1">
      <alignment vertical="center"/>
    </xf>
    <xf numFmtId="0" fontId="4" fillId="17" borderId="94" xfId="0" applyFont="1" applyFill="1" applyBorder="1" applyAlignment="1">
      <alignment vertical="top" wrapText="1"/>
    </xf>
    <xf numFmtId="3" fontId="4" fillId="17" borderId="117" xfId="0" applyNumberFormat="1" applyFont="1" applyFill="1" applyBorder="1" applyAlignment="1">
      <alignment vertical="top"/>
    </xf>
    <xf numFmtId="164" fontId="4" fillId="17" borderId="64" xfId="0" applyNumberFormat="1" applyFont="1" applyFill="1" applyBorder="1" applyAlignment="1">
      <alignment vertical="top"/>
    </xf>
    <xf numFmtId="3" fontId="4" fillId="17" borderId="62" xfId="0" applyNumberFormat="1" applyFont="1" applyFill="1" applyBorder="1" applyAlignment="1">
      <alignment vertical="top"/>
    </xf>
    <xf numFmtId="3" fontId="4" fillId="17" borderId="64" xfId="0" applyNumberFormat="1" applyFont="1" applyFill="1" applyBorder="1" applyAlignment="1">
      <alignment vertical="top"/>
    </xf>
    <xf numFmtId="0" fontId="4" fillId="17" borderId="62" xfId="0" applyFont="1" applyFill="1" applyBorder="1" applyAlignment="1">
      <alignment vertical="top"/>
    </xf>
    <xf numFmtId="3" fontId="4" fillId="17" borderId="71" xfId="0" applyNumberFormat="1" applyFont="1" applyFill="1" applyBorder="1" applyAlignment="1">
      <alignment vertical="top"/>
    </xf>
    <xf numFmtId="3" fontId="4" fillId="17" borderId="61" xfId="0" applyNumberFormat="1" applyFont="1" applyFill="1" applyBorder="1" applyAlignment="1">
      <alignment vertical="top"/>
    </xf>
    <xf numFmtId="3" fontId="15" fillId="17" borderId="71" xfId="0" applyNumberFormat="1" applyFont="1" applyFill="1" applyBorder="1" applyAlignment="1">
      <alignment vertical="top"/>
    </xf>
    <xf numFmtId="3" fontId="15" fillId="17" borderId="61" xfId="0" applyNumberFormat="1" applyFont="1" applyFill="1" applyBorder="1" applyAlignment="1">
      <alignment vertical="top"/>
    </xf>
    <xf numFmtId="164" fontId="15" fillId="17" borderId="64" xfId="0" applyNumberFormat="1" applyFont="1" applyFill="1" applyBorder="1" applyAlignment="1">
      <alignment vertical="top"/>
    </xf>
    <xf numFmtId="3" fontId="15" fillId="17" borderId="62" xfId="0" applyNumberFormat="1" applyFont="1" applyFill="1" applyBorder="1" applyAlignment="1">
      <alignment vertical="top"/>
    </xf>
    <xf numFmtId="3" fontId="15" fillId="17" borderId="64" xfId="0" applyNumberFormat="1" applyFont="1" applyFill="1" applyBorder="1" applyAlignment="1">
      <alignment vertical="top"/>
    </xf>
    <xf numFmtId="0" fontId="4" fillId="17" borderId="68" xfId="2" applyFont="1" applyFill="1" applyBorder="1" applyAlignment="1">
      <alignment vertical="top" wrapText="1"/>
    </xf>
    <xf numFmtId="3" fontId="4" fillId="17" borderId="46" xfId="0" applyNumberFormat="1" applyFont="1" applyFill="1" applyBorder="1" applyAlignment="1">
      <alignment vertical="top"/>
    </xf>
    <xf numFmtId="3" fontId="4" fillId="17" borderId="11" xfId="0" applyNumberFormat="1" applyFont="1" applyFill="1" applyBorder="1" applyAlignment="1">
      <alignment vertical="top"/>
    </xf>
    <xf numFmtId="164" fontId="4" fillId="17" borderId="15" xfId="0" applyNumberFormat="1" applyFont="1" applyFill="1" applyBorder="1" applyAlignment="1">
      <alignment vertical="top"/>
    </xf>
    <xf numFmtId="3" fontId="4" fillId="17" borderId="13" xfId="0" applyNumberFormat="1" applyFont="1" applyFill="1" applyBorder="1" applyAlignment="1">
      <alignment vertical="top"/>
    </xf>
    <xf numFmtId="3" fontId="4" fillId="17" borderId="70" xfId="0" applyNumberFormat="1" applyFont="1" applyFill="1" applyBorder="1" applyAlignment="1">
      <alignment vertical="top"/>
    </xf>
    <xf numFmtId="0" fontId="3" fillId="15" borderId="58" xfId="0" applyFont="1" applyFill="1" applyBorder="1" applyAlignment="1">
      <alignment vertical="top" wrapText="1"/>
    </xf>
    <xf numFmtId="0" fontId="6" fillId="15" borderId="59" xfId="0" applyFont="1" applyFill="1" applyBorder="1" applyAlignment="1">
      <alignment vertical="center" wrapText="1"/>
    </xf>
    <xf numFmtId="3" fontId="2" fillId="15" borderId="57" xfId="0" applyNumberFormat="1" applyFont="1" applyFill="1" applyBorder="1" applyAlignment="1">
      <alignment vertical="top"/>
    </xf>
    <xf numFmtId="3" fontId="2" fillId="15" borderId="58" xfId="0" applyNumberFormat="1" applyFont="1" applyFill="1" applyBorder="1" applyAlignment="1">
      <alignment vertical="top"/>
    </xf>
    <xf numFmtId="3" fontId="2" fillId="15" borderId="59" xfId="0" applyNumberFormat="1" applyFont="1" applyFill="1" applyBorder="1" applyAlignment="1">
      <alignment vertical="top"/>
    </xf>
    <xf numFmtId="164" fontId="2" fillId="15" borderId="58" xfId="0" applyNumberFormat="1" applyFont="1" applyFill="1" applyBorder="1" applyAlignment="1">
      <alignment vertical="top"/>
    </xf>
    <xf numFmtId="3" fontId="4" fillId="15" borderId="6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5" fillId="4" borderId="63" xfId="0" applyFont="1" applyFill="1" applyBorder="1" applyAlignment="1">
      <alignment vertical="top" wrapText="1"/>
    </xf>
    <xf numFmtId="3" fontId="22" fillId="4" borderId="61" xfId="0" applyNumberFormat="1" applyFont="1" applyFill="1" applyBorder="1" applyAlignment="1"/>
    <xf numFmtId="3" fontId="22" fillId="4" borderId="62" xfId="0" applyNumberFormat="1" applyFont="1" applyFill="1" applyBorder="1" applyAlignment="1"/>
    <xf numFmtId="43" fontId="22" fillId="4" borderId="64" xfId="1" applyFont="1" applyFill="1" applyBorder="1" applyAlignment="1"/>
    <xf numFmtId="43" fontId="22" fillId="4" borderId="63" xfId="1" applyFont="1" applyFill="1" applyBorder="1" applyAlignment="1"/>
    <xf numFmtId="164" fontId="22" fillId="4" borderId="62" xfId="0" applyNumberFormat="1" applyFont="1" applyFill="1" applyBorder="1" applyAlignment="1"/>
    <xf numFmtId="164" fontId="22" fillId="4" borderId="77" xfId="0" applyNumberFormat="1" applyFont="1" applyFill="1" applyBorder="1" applyAlignment="1">
      <alignment horizontal="center"/>
    </xf>
    <xf numFmtId="3" fontId="22" fillId="4" borderId="64" xfId="0" applyNumberFormat="1" applyFont="1" applyFill="1" applyBorder="1" applyAlignment="1"/>
    <xf numFmtId="3" fontId="15" fillId="2" borderId="61" xfId="0" applyNumberFormat="1" applyFont="1" applyFill="1" applyBorder="1" applyAlignment="1"/>
    <xf numFmtId="3" fontId="15" fillId="2" borderId="62" xfId="0" applyNumberFormat="1" applyFont="1" applyFill="1" applyBorder="1" applyAlignment="1"/>
    <xf numFmtId="3" fontId="15" fillId="0" borderId="61" xfId="0" applyNumberFormat="1" applyFont="1" applyFill="1" applyBorder="1" applyAlignment="1"/>
    <xf numFmtId="164" fontId="15" fillId="2" borderId="62" xfId="0" applyNumberFormat="1" applyFont="1" applyFill="1" applyBorder="1" applyAlignment="1"/>
    <xf numFmtId="164" fontId="15" fillId="0" borderId="62" xfId="0" applyNumberFormat="1" applyFont="1" applyFill="1" applyBorder="1" applyAlignment="1">
      <alignment horizontal="center" vertical="top"/>
    </xf>
    <xf numFmtId="3" fontId="15" fillId="2" borderId="64" xfId="0" applyNumberFormat="1" applyFont="1" applyFill="1" applyBorder="1" applyAlignment="1"/>
    <xf numFmtId="0" fontId="2" fillId="0" borderId="62" xfId="0" applyFont="1" applyFill="1" applyBorder="1" applyAlignment="1">
      <alignment vertical="top"/>
    </xf>
    <xf numFmtId="3" fontId="4" fillId="0" borderId="61" xfId="0" applyNumberFormat="1" applyFont="1" applyFill="1" applyBorder="1" applyAlignment="1">
      <alignment vertical="top"/>
    </xf>
    <xf numFmtId="3" fontId="4" fillId="0" borderId="62" xfId="0" applyNumberFormat="1" applyFont="1" applyFill="1" applyBorder="1" applyAlignment="1">
      <alignment vertical="top"/>
    </xf>
    <xf numFmtId="3" fontId="4" fillId="0" borderId="64" xfId="0" applyNumberFormat="1" applyFont="1" applyFill="1" applyBorder="1" applyAlignment="1">
      <alignment vertical="top"/>
    </xf>
    <xf numFmtId="43" fontId="4" fillId="0" borderId="64" xfId="1" applyFont="1" applyFill="1" applyBorder="1" applyAlignment="1">
      <alignment vertical="top"/>
    </xf>
    <xf numFmtId="43" fontId="4" fillId="0" borderId="63" xfId="1" applyFont="1" applyFill="1" applyBorder="1" applyAlignment="1">
      <alignment vertical="top"/>
    </xf>
    <xf numFmtId="164" fontId="4" fillId="0" borderId="62" xfId="0" applyNumberFormat="1" applyFont="1" applyFill="1" applyBorder="1" applyAlignment="1">
      <alignment vertical="top"/>
    </xf>
    <xf numFmtId="164" fontId="4" fillId="0" borderId="62" xfId="0" applyNumberFormat="1" applyFont="1" applyFill="1" applyBorder="1" applyAlignment="1">
      <alignment horizontal="center" vertical="top"/>
    </xf>
    <xf numFmtId="0" fontId="2" fillId="0" borderId="62" xfId="0" applyFont="1" applyFill="1" applyBorder="1" applyAlignment="1">
      <alignment vertical="top" wrapText="1"/>
    </xf>
    <xf numFmtId="43" fontId="4" fillId="0" borderId="102" xfId="1" applyFont="1" applyFill="1" applyBorder="1" applyAlignment="1">
      <alignment vertical="top"/>
    </xf>
    <xf numFmtId="3" fontId="15" fillId="0" borderId="61" xfId="0" applyNumberFormat="1" applyFont="1" applyFill="1" applyBorder="1" applyAlignment="1">
      <alignment vertical="top"/>
    </xf>
    <xf numFmtId="3" fontId="15" fillId="0" borderId="62" xfId="0" applyNumberFormat="1" applyFont="1" applyFill="1" applyBorder="1" applyAlignment="1">
      <alignment vertical="top"/>
    </xf>
    <xf numFmtId="43" fontId="15" fillId="0" borderId="64" xfId="1" applyFont="1" applyFill="1" applyBorder="1" applyAlignment="1">
      <alignment vertical="top"/>
    </xf>
    <xf numFmtId="43" fontId="15" fillId="0" borderId="63" xfId="1" applyFont="1" applyFill="1" applyBorder="1" applyAlignment="1">
      <alignment vertical="top"/>
    </xf>
    <xf numFmtId="164" fontId="15" fillId="0" borderId="62" xfId="0" applyNumberFormat="1" applyFont="1" applyFill="1" applyBorder="1" applyAlignment="1">
      <alignment vertical="top"/>
    </xf>
    <xf numFmtId="3" fontId="15" fillId="0" borderId="64" xfId="0" applyNumberFormat="1" applyFont="1" applyFill="1" applyBorder="1" applyAlignment="1">
      <alignment vertical="top"/>
    </xf>
    <xf numFmtId="0" fontId="2" fillId="0" borderId="62" xfId="2" applyFont="1" applyFill="1" applyBorder="1" applyAlignment="1">
      <alignment vertical="center"/>
    </xf>
    <xf numFmtId="0" fontId="3" fillId="4" borderId="77" xfId="2" applyFont="1" applyFill="1" applyBorder="1" applyAlignment="1">
      <alignment horizontal="left" vertical="center"/>
    </xf>
    <xf numFmtId="0" fontId="5" fillId="4" borderId="78" xfId="0" applyFont="1" applyFill="1" applyBorder="1" applyAlignment="1">
      <alignment vertical="top"/>
    </xf>
    <xf numFmtId="3" fontId="22" fillId="4" borderId="79" xfId="0" applyNumberFormat="1" applyFont="1" applyFill="1" applyBorder="1" applyAlignment="1"/>
    <xf numFmtId="3" fontId="22" fillId="4" borderId="77" xfId="0" applyNumberFormat="1" applyFont="1" applyFill="1" applyBorder="1" applyAlignment="1"/>
    <xf numFmtId="43" fontId="22" fillId="4" borderId="80" xfId="1" applyFont="1" applyFill="1" applyBorder="1" applyAlignment="1"/>
    <xf numFmtId="43" fontId="22" fillId="4" borderId="78" xfId="1" applyFont="1" applyFill="1" applyBorder="1" applyAlignment="1"/>
    <xf numFmtId="164" fontId="22" fillId="4" borderId="77" xfId="0" applyNumberFormat="1" applyFont="1" applyFill="1" applyBorder="1" applyAlignment="1"/>
    <xf numFmtId="3" fontId="22" fillId="4" borderId="80" xfId="0" applyNumberFormat="1" applyFont="1" applyFill="1" applyBorder="1" applyAlignment="1"/>
    <xf numFmtId="3" fontId="4" fillId="0" borderId="67" xfId="0" applyNumberFormat="1" applyFont="1" applyFill="1" applyBorder="1" applyAlignment="1">
      <alignment vertical="top"/>
    </xf>
    <xf numFmtId="3" fontId="4" fillId="0" borderId="68" xfId="0" applyNumberFormat="1" applyFont="1" applyFill="1" applyBorder="1" applyAlignment="1">
      <alignment vertical="top"/>
    </xf>
    <xf numFmtId="43" fontId="4" fillId="0" borderId="103" xfId="1" applyFont="1" applyFill="1" applyBorder="1" applyAlignment="1">
      <alignment vertical="top"/>
    </xf>
    <xf numFmtId="43" fontId="4" fillId="0" borderId="69" xfId="1" applyFont="1" applyFill="1" applyBorder="1" applyAlignment="1">
      <alignment vertical="top"/>
    </xf>
    <xf numFmtId="164" fontId="4" fillId="0" borderId="68" xfId="0" applyNumberFormat="1" applyFont="1" applyFill="1" applyBorder="1" applyAlignment="1">
      <alignment vertical="top"/>
    </xf>
    <xf numFmtId="164" fontId="4" fillId="0" borderId="68" xfId="0" applyNumberFormat="1" applyFont="1" applyFill="1" applyBorder="1" applyAlignment="1">
      <alignment horizontal="center" vertical="top"/>
    </xf>
    <xf numFmtId="3" fontId="4" fillId="0" borderId="70" xfId="0" applyNumberFormat="1" applyFont="1" applyFill="1" applyBorder="1" applyAlignment="1">
      <alignment vertical="top"/>
    </xf>
    <xf numFmtId="0" fontId="3" fillId="15" borderId="58" xfId="0" applyFont="1" applyFill="1" applyBorder="1" applyAlignment="1">
      <alignment horizontal="left" vertical="top" wrapText="1"/>
    </xf>
    <xf numFmtId="0" fontId="6" fillId="15" borderId="60" xfId="0" applyFont="1" applyFill="1" applyBorder="1" applyAlignment="1">
      <alignment vertical="center" wrapText="1"/>
    </xf>
    <xf numFmtId="3" fontId="22" fillId="15" borderId="57" xfId="0" applyNumberFormat="1" applyFont="1" applyFill="1" applyBorder="1" applyAlignment="1">
      <alignment vertical="top"/>
    </xf>
    <xf numFmtId="3" fontId="22" fillId="15" borderId="58" xfId="0" applyNumberFormat="1" applyFont="1" applyFill="1" applyBorder="1" applyAlignment="1">
      <alignment vertical="top"/>
    </xf>
    <xf numFmtId="3" fontId="22" fillId="15" borderId="59" xfId="0" applyNumberFormat="1" applyFont="1" applyFill="1" applyBorder="1" applyAlignment="1">
      <alignment vertical="top"/>
    </xf>
    <xf numFmtId="3" fontId="3" fillId="15" borderId="57" xfId="0" applyNumberFormat="1" applyFont="1" applyFill="1" applyBorder="1" applyAlignment="1">
      <alignment vertical="top"/>
    </xf>
    <xf numFmtId="164" fontId="3" fillId="15" borderId="58" xfId="0" applyNumberFormat="1" applyFont="1" applyFill="1" applyBorder="1" applyAlignment="1">
      <alignment vertical="top"/>
    </xf>
    <xf numFmtId="3" fontId="3" fillId="15" borderId="58" xfId="0" applyNumberFormat="1" applyFont="1" applyFill="1" applyBorder="1" applyAlignment="1">
      <alignment vertical="top"/>
    </xf>
    <xf numFmtId="3" fontId="22" fillId="15" borderId="60" xfId="0" applyNumberFormat="1" applyFont="1" applyFill="1" applyBorder="1" applyAlignment="1">
      <alignment vertical="top"/>
    </xf>
    <xf numFmtId="0" fontId="5" fillId="4" borderId="64" xfId="0" applyFont="1" applyFill="1" applyBorder="1" applyAlignment="1">
      <alignment vertical="top"/>
    </xf>
    <xf numFmtId="3" fontId="3" fillId="4" borderId="61" xfId="0" applyNumberFormat="1" applyFont="1" applyFill="1" applyBorder="1" applyAlignment="1"/>
    <xf numFmtId="164" fontId="3" fillId="4" borderId="62" xfId="0" applyNumberFormat="1" applyFont="1" applyFill="1" applyBorder="1" applyAlignment="1"/>
    <xf numFmtId="3" fontId="3" fillId="4" borderId="62" xfId="0" applyNumberFormat="1" applyFont="1" applyFill="1" applyBorder="1" applyAlignment="1"/>
    <xf numFmtId="43" fontId="3" fillId="4" borderId="66" xfId="1" applyFont="1" applyFill="1" applyBorder="1" applyAlignment="1"/>
    <xf numFmtId="3" fontId="15" fillId="0" borderId="62" xfId="0" applyNumberFormat="1" applyFont="1" applyFill="1" applyBorder="1" applyAlignment="1"/>
    <xf numFmtId="3" fontId="39" fillId="0" borderId="61" xfId="0" applyNumberFormat="1" applyFont="1" applyFill="1" applyBorder="1" applyAlignment="1"/>
    <xf numFmtId="164" fontId="39" fillId="0" borderId="62" xfId="0" applyNumberFormat="1" applyFont="1" applyFill="1" applyBorder="1" applyAlignment="1"/>
    <xf numFmtId="3" fontId="39" fillId="0" borderId="62" xfId="0" applyNumberFormat="1" applyFont="1" applyFill="1" applyBorder="1" applyAlignment="1"/>
    <xf numFmtId="43" fontId="39" fillId="0" borderId="62" xfId="1" applyFont="1" applyFill="1" applyBorder="1" applyAlignment="1">
      <alignment vertical="top"/>
    </xf>
    <xf numFmtId="3" fontId="15" fillId="0" borderId="64" xfId="0" applyNumberFormat="1" applyFont="1" applyFill="1" applyBorder="1" applyAlignment="1"/>
    <xf numFmtId="3" fontId="4" fillId="0" borderId="62" xfId="1" applyNumberFormat="1" applyFont="1" applyFill="1" applyBorder="1" applyAlignment="1">
      <alignment vertical="top"/>
    </xf>
    <xf numFmtId="3" fontId="2" fillId="0" borderId="61" xfId="0" applyNumberFormat="1" applyFont="1" applyFill="1" applyBorder="1" applyAlignment="1">
      <alignment vertical="top"/>
    </xf>
    <xf numFmtId="164" fontId="2" fillId="0" borderId="62" xfId="0" applyNumberFormat="1" applyFont="1" applyFill="1" applyBorder="1" applyAlignment="1">
      <alignment vertical="top"/>
    </xf>
    <xf numFmtId="3" fontId="2" fillId="0" borderId="62" xfId="0" applyNumberFormat="1" applyFont="1" applyFill="1" applyBorder="1" applyAlignment="1">
      <alignment vertical="top"/>
    </xf>
    <xf numFmtId="43" fontId="24" fillId="0" borderId="62" xfId="1" applyFont="1" applyFill="1" applyBorder="1" applyAlignment="1">
      <alignment vertical="top"/>
    </xf>
    <xf numFmtId="3" fontId="23" fillId="0" borderId="102" xfId="1" applyNumberFormat="1" applyFont="1" applyFill="1" applyBorder="1" applyAlignment="1">
      <alignment vertical="top"/>
    </xf>
    <xf numFmtId="3" fontId="15" fillId="0" borderId="62" xfId="1" applyNumberFormat="1" applyFont="1" applyFill="1" applyBorder="1" applyAlignment="1">
      <alignment vertical="top"/>
    </xf>
    <xf numFmtId="3" fontId="39" fillId="0" borderId="61" xfId="0" applyNumberFormat="1" applyFont="1" applyFill="1" applyBorder="1" applyAlignment="1">
      <alignment vertical="top"/>
    </xf>
    <xf numFmtId="164" fontId="39" fillId="0" borderId="62" xfId="0" applyNumberFormat="1" applyFont="1" applyFill="1" applyBorder="1" applyAlignment="1">
      <alignment vertical="top"/>
    </xf>
    <xf numFmtId="43" fontId="4" fillId="0" borderId="65" xfId="1" applyFont="1" applyFill="1" applyBorder="1" applyAlignment="1">
      <alignment vertical="top"/>
    </xf>
    <xf numFmtId="43" fontId="2" fillId="0" borderId="66" xfId="1" applyFont="1" applyFill="1" applyBorder="1" applyAlignment="1">
      <alignment vertical="top"/>
    </xf>
    <xf numFmtId="3" fontId="22" fillId="4" borderId="62" xfId="1" applyNumberFormat="1" applyFont="1" applyFill="1" applyBorder="1" applyAlignment="1"/>
    <xf numFmtId="0" fontId="5" fillId="16" borderId="64" xfId="0" applyFont="1" applyFill="1" applyBorder="1" applyAlignment="1">
      <alignment vertical="top"/>
    </xf>
    <xf numFmtId="167" fontId="22" fillId="16" borderId="71" xfId="1" applyNumberFormat="1" applyFont="1" applyFill="1" applyBorder="1" applyAlignment="1"/>
    <xf numFmtId="3" fontId="22" fillId="16" borderId="62" xfId="0" applyNumberFormat="1" applyFont="1" applyFill="1" applyBorder="1" applyAlignment="1"/>
    <xf numFmtId="3" fontId="22" fillId="16" borderId="66" xfId="0" applyNumberFormat="1" applyFont="1" applyFill="1" applyBorder="1" applyAlignment="1"/>
    <xf numFmtId="3" fontId="15" fillId="0" borderId="102" xfId="1" applyNumberFormat="1" applyFont="1" applyFill="1" applyBorder="1" applyAlignment="1">
      <alignment vertical="top"/>
    </xf>
    <xf numFmtId="3" fontId="3" fillId="16" borderId="61" xfId="0" applyNumberFormat="1" applyFont="1" applyFill="1" applyBorder="1" applyAlignment="1"/>
    <xf numFmtId="164" fontId="3" fillId="16" borderId="62" xfId="0" applyNumberFormat="1" applyFont="1" applyFill="1" applyBorder="1" applyAlignment="1"/>
    <xf numFmtId="167" fontId="4" fillId="16" borderId="61" xfId="1" applyNumberFormat="1" applyFont="1" applyFill="1" applyBorder="1" applyAlignment="1"/>
    <xf numFmtId="3" fontId="4" fillId="16" borderId="62" xfId="0" applyNumberFormat="1" applyFont="1" applyFill="1" applyBorder="1" applyAlignment="1"/>
    <xf numFmtId="3" fontId="2" fillId="16" borderId="61" xfId="0" applyNumberFormat="1" applyFont="1" applyFill="1" applyBorder="1" applyAlignment="1"/>
    <xf numFmtId="43" fontId="15" fillId="0" borderId="65" xfId="1" applyFont="1" applyFill="1" applyBorder="1" applyAlignment="1">
      <alignment vertical="top"/>
    </xf>
    <xf numFmtId="3" fontId="3" fillId="0" borderId="61" xfId="0" applyNumberFormat="1" applyFont="1" applyFill="1" applyBorder="1" applyAlignment="1">
      <alignment vertical="top"/>
    </xf>
    <xf numFmtId="164" fontId="2" fillId="0" borderId="64" xfId="0" applyNumberFormat="1" applyFont="1" applyFill="1" applyBorder="1" applyAlignment="1">
      <alignment vertical="top"/>
    </xf>
    <xf numFmtId="3" fontId="39" fillId="16" borderId="62" xfId="0" applyNumberFormat="1" applyFont="1" applyFill="1" applyBorder="1" applyAlignment="1"/>
    <xf numFmtId="43" fontId="4" fillId="0" borderId="85" xfId="1" applyFont="1" applyFill="1" applyBorder="1" applyAlignment="1">
      <alignment vertical="top"/>
    </xf>
    <xf numFmtId="3" fontId="2" fillId="0" borderId="67" xfId="0" applyNumberFormat="1" applyFont="1" applyFill="1" applyBorder="1" applyAlignment="1">
      <alignment vertical="top"/>
    </xf>
    <xf numFmtId="164" fontId="2" fillId="0" borderId="70" xfId="0" applyNumberFormat="1" applyFont="1" applyFill="1" applyBorder="1" applyAlignment="1">
      <alignment vertical="top"/>
    </xf>
    <xf numFmtId="3" fontId="3" fillId="16" borderId="68" xfId="0" applyNumberFormat="1" applyFont="1" applyFill="1" applyBorder="1" applyAlignment="1"/>
    <xf numFmtId="43" fontId="2" fillId="0" borderId="96" xfId="1" applyFont="1" applyFill="1" applyBorder="1" applyAlignment="1">
      <alignment vertical="top"/>
    </xf>
    <xf numFmtId="43" fontId="4" fillId="0" borderId="70" xfId="1" applyFont="1" applyFill="1" applyBorder="1" applyAlignment="1">
      <alignment vertical="top"/>
    </xf>
    <xf numFmtId="3" fontId="3" fillId="15" borderId="98" xfId="0" applyNumberFormat="1" applyFont="1" applyFill="1" applyBorder="1" applyAlignment="1">
      <alignment vertical="top"/>
    </xf>
    <xf numFmtId="3" fontId="22" fillId="15" borderId="104" xfId="0" applyNumberFormat="1" applyFont="1" applyFill="1" applyBorder="1" applyAlignment="1">
      <alignment vertical="top"/>
    </xf>
    <xf numFmtId="3" fontId="22" fillId="4" borderId="63" xfId="0" applyNumberFormat="1" applyFont="1" applyFill="1" applyBorder="1" applyAlignment="1"/>
    <xf numFmtId="3" fontId="3" fillId="4" borderId="66" xfId="0" applyNumberFormat="1" applyFont="1" applyFill="1" applyBorder="1" applyAlignment="1"/>
    <xf numFmtId="3" fontId="39" fillId="2" borderId="66" xfId="0" applyNumberFormat="1" applyFont="1" applyFill="1" applyBorder="1" applyAlignment="1"/>
    <xf numFmtId="164" fontId="39" fillId="2" borderId="62" xfId="0" applyNumberFormat="1" applyFont="1" applyFill="1" applyBorder="1" applyAlignment="1"/>
    <xf numFmtId="3" fontId="39" fillId="2" borderId="62" xfId="0" applyNumberFormat="1" applyFont="1" applyFill="1" applyBorder="1" applyAlignment="1"/>
    <xf numFmtId="3" fontId="4" fillId="0" borderId="0" xfId="0" applyNumberFormat="1" applyFont="1" applyFill="1" applyBorder="1" applyAlignment="1">
      <alignment vertical="top"/>
    </xf>
    <xf numFmtId="0" fontId="2" fillId="2" borderId="62" xfId="0" applyFont="1" applyFill="1" applyBorder="1" applyAlignment="1">
      <alignment vertical="top"/>
    </xf>
    <xf numFmtId="3" fontId="4" fillId="2" borderId="62" xfId="0" applyNumberFormat="1" applyFont="1" applyFill="1" applyBorder="1" applyAlignment="1">
      <alignment vertical="top"/>
    </xf>
    <xf numFmtId="3" fontId="4" fillId="0" borderId="63" xfId="0" applyNumberFormat="1" applyFont="1" applyFill="1" applyBorder="1" applyAlignment="1">
      <alignment vertical="top"/>
    </xf>
    <xf numFmtId="3" fontId="2" fillId="2" borderId="66" xfId="0" applyNumberFormat="1" applyFont="1" applyFill="1" applyBorder="1" applyAlignment="1">
      <alignment vertical="top"/>
    </xf>
    <xf numFmtId="164" fontId="2" fillId="2" borderId="62" xfId="0" applyNumberFormat="1" applyFont="1" applyFill="1" applyBorder="1" applyAlignment="1">
      <alignment vertical="top"/>
    </xf>
    <xf numFmtId="3" fontId="2" fillId="2" borderId="62" xfId="0" applyNumberFormat="1" applyFont="1" applyFill="1" applyBorder="1" applyAlignment="1">
      <alignment vertical="top"/>
    </xf>
    <xf numFmtId="3" fontId="4" fillId="2" borderId="64" xfId="0" applyNumberFormat="1" applyFont="1" applyFill="1" applyBorder="1" applyAlignment="1">
      <alignment vertical="top"/>
    </xf>
    <xf numFmtId="0" fontId="2" fillId="2" borderId="62" xfId="0" applyFont="1" applyFill="1" applyBorder="1" applyAlignment="1">
      <alignment vertical="top" wrapText="1"/>
    </xf>
    <xf numFmtId="3" fontId="2" fillId="0" borderId="62" xfId="0" applyNumberFormat="1" applyFont="1" applyFill="1" applyBorder="1" applyAlignment="1"/>
    <xf numFmtId="3" fontId="2" fillId="0" borderId="64" xfId="0" applyNumberFormat="1" applyFont="1" applyFill="1" applyBorder="1" applyAlignment="1">
      <alignment vertical="top"/>
    </xf>
    <xf numFmtId="3" fontId="4" fillId="0" borderId="61" xfId="0" applyNumberFormat="1" applyFont="1" applyFill="1" applyBorder="1" applyAlignment="1">
      <alignment vertical="center"/>
    </xf>
    <xf numFmtId="3" fontId="4" fillId="0" borderId="62" xfId="0" applyNumberFormat="1" applyFont="1" applyFill="1" applyBorder="1" applyAlignment="1">
      <alignment vertical="center"/>
    </xf>
    <xf numFmtId="3" fontId="4" fillId="0" borderId="63" xfId="0" applyNumberFormat="1" applyFont="1" applyFill="1" applyBorder="1" applyAlignment="1">
      <alignment vertical="center"/>
    </xf>
    <xf numFmtId="3" fontId="2" fillId="2" borderId="66" xfId="0" applyNumberFormat="1" applyFont="1" applyFill="1" applyBorder="1" applyAlignment="1">
      <alignment vertical="center"/>
    </xf>
    <xf numFmtId="164" fontId="2" fillId="2" borderId="62" xfId="0" applyNumberFormat="1" applyFont="1" applyFill="1" applyBorder="1" applyAlignment="1">
      <alignment vertical="center"/>
    </xf>
    <xf numFmtId="3" fontId="2" fillId="2" borderId="62" xfId="0" applyNumberFormat="1" applyFont="1" applyFill="1" applyBorder="1" applyAlignment="1">
      <alignment vertical="center"/>
    </xf>
    <xf numFmtId="3" fontId="4" fillId="0" borderId="64" xfId="0" applyNumberFormat="1" applyFont="1" applyFill="1" applyBorder="1" applyAlignment="1">
      <alignment vertical="center"/>
    </xf>
    <xf numFmtId="3" fontId="15" fillId="2" borderId="62" xfId="0" applyNumberFormat="1" applyFont="1" applyFill="1" applyBorder="1" applyAlignment="1">
      <alignment vertical="top"/>
    </xf>
    <xf numFmtId="3" fontId="15" fillId="2" borderId="63" xfId="0" applyNumberFormat="1" applyFont="1" applyFill="1" applyBorder="1" applyAlignment="1">
      <alignment vertical="top"/>
    </xf>
    <xf numFmtId="3" fontId="39" fillId="2" borderId="66" xfId="0" applyNumberFormat="1" applyFont="1" applyFill="1" applyBorder="1" applyAlignment="1">
      <alignment vertical="top"/>
    </xf>
    <xf numFmtId="164" fontId="39" fillId="2" borderId="62" xfId="0" applyNumberFormat="1" applyFont="1" applyFill="1" applyBorder="1" applyAlignment="1">
      <alignment vertical="top"/>
    </xf>
    <xf numFmtId="3" fontId="39" fillId="2" borderId="62" xfId="0" applyNumberFormat="1" applyFont="1" applyFill="1" applyBorder="1" applyAlignment="1">
      <alignment vertical="top"/>
    </xf>
    <xf numFmtId="3" fontId="15" fillId="2" borderId="64" xfId="0" applyNumberFormat="1" applyFont="1" applyFill="1" applyBorder="1" applyAlignment="1">
      <alignment vertical="top"/>
    </xf>
    <xf numFmtId="0" fontId="2" fillId="2" borderId="62" xfId="2" applyFont="1" applyFill="1" applyBorder="1" applyAlignment="1">
      <alignment vertical="center"/>
    </xf>
    <xf numFmtId="3" fontId="4" fillId="2" borderId="63" xfId="0" applyNumberFormat="1" applyFont="1" applyFill="1" applyBorder="1" applyAlignment="1">
      <alignment vertical="top"/>
    </xf>
    <xf numFmtId="3" fontId="15" fillId="0" borderId="63" xfId="0" applyNumberFormat="1" applyFont="1" applyFill="1" applyBorder="1" applyAlignment="1">
      <alignment vertical="top"/>
    </xf>
    <xf numFmtId="3" fontId="3" fillId="0" borderId="66" xfId="0" applyNumberFormat="1" applyFont="1" applyFill="1" applyBorder="1" applyAlignment="1"/>
    <xf numFmtId="164" fontId="2" fillId="0" borderId="62" xfId="0" applyNumberFormat="1" applyFont="1" applyFill="1" applyBorder="1" applyAlignment="1"/>
    <xf numFmtId="3" fontId="2" fillId="0" borderId="66" xfId="0" applyNumberFormat="1" applyFont="1" applyFill="1" applyBorder="1" applyAlignment="1"/>
    <xf numFmtId="0" fontId="2" fillId="2" borderId="68" xfId="0" applyFont="1" applyFill="1" applyBorder="1" applyAlignment="1">
      <alignment vertical="top" wrapText="1"/>
    </xf>
    <xf numFmtId="3" fontId="4" fillId="0" borderId="93" xfId="0" applyNumberFormat="1" applyFont="1" applyFill="1" applyBorder="1" applyAlignment="1">
      <alignment vertical="top"/>
    </xf>
    <xf numFmtId="3" fontId="4" fillId="0" borderId="94" xfId="0" applyNumberFormat="1" applyFont="1" applyFill="1" applyBorder="1" applyAlignment="1">
      <alignment vertical="top"/>
    </xf>
    <xf numFmtId="3" fontId="4" fillId="0" borderId="85" xfId="0" applyNumberFormat="1" applyFont="1" applyFill="1" applyBorder="1" applyAlignment="1">
      <alignment vertical="top"/>
    </xf>
    <xf numFmtId="3" fontId="2" fillId="0" borderId="96" xfId="0" applyNumberFormat="1" applyFont="1" applyFill="1" applyBorder="1" applyAlignment="1"/>
    <xf numFmtId="164" fontId="2" fillId="0" borderId="68" xfId="0" applyNumberFormat="1" applyFont="1" applyFill="1" applyBorder="1" applyAlignment="1"/>
    <xf numFmtId="3" fontId="2" fillId="0" borderId="68" xfId="0" applyNumberFormat="1" applyFont="1" applyFill="1" applyBorder="1" applyAlignment="1"/>
    <xf numFmtId="0" fontId="3" fillId="15" borderId="60" xfId="0" applyFont="1" applyFill="1" applyBorder="1" applyAlignment="1">
      <alignment vertical="center" wrapText="1"/>
    </xf>
    <xf numFmtId="0" fontId="7" fillId="15" borderId="60" xfId="0" applyFont="1" applyFill="1" applyBorder="1" applyAlignment="1">
      <alignment horizontal="center" vertical="center" wrapText="1"/>
    </xf>
    <xf numFmtId="0" fontId="2" fillId="15" borderId="101" xfId="0" applyFont="1" applyFill="1" applyBorder="1" applyAlignment="1">
      <alignment vertical="top"/>
    </xf>
    <xf numFmtId="43" fontId="2" fillId="15" borderId="58" xfId="1" applyFont="1" applyFill="1" applyBorder="1" applyAlignment="1">
      <alignment vertical="top"/>
    </xf>
    <xf numFmtId="0" fontId="2" fillId="15" borderId="58" xfId="0" applyFont="1" applyFill="1" applyBorder="1" applyAlignment="1">
      <alignment vertical="top"/>
    </xf>
    <xf numFmtId="0" fontId="2" fillId="15" borderId="104" xfId="0" applyFont="1" applyFill="1" applyBorder="1" applyAlignment="1">
      <alignment vertical="top"/>
    </xf>
    <xf numFmtId="0" fontId="2" fillId="15" borderId="57" xfId="0" applyFont="1" applyFill="1" applyBorder="1" applyAlignment="1">
      <alignment vertical="top"/>
    </xf>
    <xf numFmtId="165" fontId="2" fillId="15" borderId="58" xfId="0" applyNumberFormat="1" applyFont="1" applyFill="1" applyBorder="1" applyAlignment="1">
      <alignment vertical="top"/>
    </xf>
    <xf numFmtId="165" fontId="2" fillId="15" borderId="104" xfId="0" applyNumberFormat="1" applyFont="1" applyFill="1" applyBorder="1" applyAlignment="1">
      <alignment vertical="top"/>
    </xf>
    <xf numFmtId="0" fontId="4" fillId="15" borderId="60" xfId="0" applyFont="1" applyFill="1" applyBorder="1" applyAlignment="1">
      <alignment vertical="top"/>
    </xf>
    <xf numFmtId="0" fontId="46" fillId="0" borderId="81" xfId="0" applyFont="1" applyBorder="1" applyAlignment="1">
      <alignment wrapText="1"/>
    </xf>
    <xf numFmtId="0" fontId="16" fillId="4" borderId="64" xfId="0" applyFont="1" applyFill="1" applyBorder="1" applyAlignment="1">
      <alignment vertical="top"/>
    </xf>
    <xf numFmtId="3" fontId="3" fillId="4" borderId="71" xfId="0" applyNumberFormat="1" applyFont="1" applyFill="1" applyBorder="1" applyAlignment="1">
      <alignment vertical="top"/>
    </xf>
    <xf numFmtId="3" fontId="3" fillId="4" borderId="62" xfId="0" applyNumberFormat="1" applyFont="1" applyFill="1" applyBorder="1" applyAlignment="1">
      <alignment vertical="top"/>
    </xf>
    <xf numFmtId="3" fontId="3" fillId="4" borderId="102" xfId="0" applyNumberFormat="1" applyFont="1" applyFill="1" applyBorder="1" applyAlignment="1">
      <alignment vertical="top"/>
    </xf>
    <xf numFmtId="3" fontId="3" fillId="4" borderId="61" xfId="0" applyNumberFormat="1" applyFont="1" applyFill="1" applyBorder="1" applyAlignment="1">
      <alignment vertical="top"/>
    </xf>
    <xf numFmtId="164" fontId="3" fillId="4" borderId="66" xfId="0" applyNumberFormat="1" applyFont="1" applyFill="1" applyBorder="1" applyAlignment="1"/>
    <xf numFmtId="3" fontId="22" fillId="4" borderId="64" xfId="0" applyNumberFormat="1" applyFont="1" applyFill="1" applyBorder="1" applyAlignment="1">
      <alignment vertical="top"/>
    </xf>
    <xf numFmtId="3" fontId="39" fillId="2" borderId="64" xfId="2" applyNumberFormat="1" applyFont="1" applyFill="1" applyBorder="1" applyAlignment="1">
      <alignment vertical="center" wrapText="1"/>
    </xf>
    <xf numFmtId="3" fontId="39" fillId="2" borderId="71" xfId="0" applyNumberFormat="1" applyFont="1" applyFill="1" applyBorder="1" applyAlignment="1">
      <alignment vertical="center"/>
    </xf>
    <xf numFmtId="3" fontId="39" fillId="2" borderId="62" xfId="0" applyNumberFormat="1" applyFont="1" applyFill="1" applyBorder="1" applyAlignment="1">
      <alignment vertical="center"/>
    </xf>
    <xf numFmtId="3" fontId="39" fillId="2" borderId="102" xfId="0" applyNumberFormat="1" applyFont="1" applyFill="1" applyBorder="1" applyAlignment="1">
      <alignment vertical="center"/>
    </xf>
    <xf numFmtId="3" fontId="39" fillId="2" borderId="61" xfId="0" applyNumberFormat="1" applyFont="1" applyFill="1" applyBorder="1" applyAlignment="1">
      <alignment vertical="center"/>
    </xf>
    <xf numFmtId="164" fontId="2" fillId="0" borderId="66" xfId="0" applyNumberFormat="1" applyFont="1" applyFill="1" applyBorder="1" applyAlignment="1"/>
    <xf numFmtId="0" fontId="2" fillId="2" borderId="64" xfId="0" applyFont="1" applyFill="1" applyBorder="1" applyAlignment="1">
      <alignment vertical="top"/>
    </xf>
    <xf numFmtId="3" fontId="2" fillId="2" borderId="61" xfId="0" applyNumberFormat="1" applyFont="1" applyFill="1" applyBorder="1" applyAlignment="1">
      <alignment vertical="top"/>
    </xf>
    <xf numFmtId="3" fontId="2" fillId="2" borderId="102" xfId="0" applyNumberFormat="1" applyFont="1" applyFill="1" applyBorder="1" applyAlignment="1">
      <alignment vertical="top"/>
    </xf>
    <xf numFmtId="3" fontId="2" fillId="2" borderId="61" xfId="0" applyNumberFormat="1" applyFont="1" applyFill="1" applyBorder="1" applyAlignment="1">
      <alignment vertical="center"/>
    </xf>
    <xf numFmtId="0" fontId="2" fillId="2" borderId="70" xfId="0" applyFont="1" applyFill="1" applyBorder="1" applyAlignment="1">
      <alignment vertical="top"/>
    </xf>
    <xf numFmtId="3" fontId="2" fillId="2" borderId="67" xfId="0" applyNumberFormat="1" applyFont="1" applyFill="1" applyBorder="1" applyAlignment="1">
      <alignment vertical="top"/>
    </xf>
    <xf numFmtId="3" fontId="2" fillId="2" borderId="68" xfId="0" applyNumberFormat="1" applyFont="1" applyFill="1" applyBorder="1" applyAlignment="1">
      <alignment vertical="top"/>
    </xf>
    <xf numFmtId="3" fontId="2" fillId="2" borderId="103" xfId="0" applyNumberFormat="1" applyFont="1" applyFill="1" applyBorder="1" applyAlignment="1">
      <alignment vertical="top"/>
    </xf>
    <xf numFmtId="164" fontId="2" fillId="0" borderId="96" xfId="0" applyNumberFormat="1" applyFont="1" applyFill="1" applyBorder="1" applyAlignment="1"/>
    <xf numFmtId="3" fontId="3" fillId="4" borderId="77" xfId="0" applyNumberFormat="1" applyFont="1" applyFill="1" applyBorder="1" applyAlignment="1">
      <alignment vertical="top"/>
    </xf>
    <xf numFmtId="3" fontId="3" fillId="4" borderId="79" xfId="0" applyNumberFormat="1" applyFont="1" applyFill="1" applyBorder="1" applyAlignment="1">
      <alignment vertical="top"/>
    </xf>
    <xf numFmtId="3" fontId="2" fillId="2" borderId="71" xfId="0" applyNumberFormat="1" applyFont="1" applyFill="1" applyBorder="1" applyAlignment="1">
      <alignment vertical="top"/>
    </xf>
    <xf numFmtId="3" fontId="2" fillId="2" borderId="72" xfId="0" applyNumberFormat="1" applyFont="1" applyFill="1" applyBorder="1" applyAlignment="1">
      <alignment vertical="top"/>
    </xf>
    <xf numFmtId="0" fontId="3" fillId="15" borderId="80" xfId="0" applyFont="1" applyFill="1" applyBorder="1" applyAlignment="1">
      <alignment vertical="center" wrapText="1"/>
    </xf>
    <xf numFmtId="0" fontId="7" fillId="15" borderId="78" xfId="0" applyFont="1" applyFill="1" applyBorder="1" applyAlignment="1">
      <alignment horizontal="center" vertical="center" wrapText="1"/>
    </xf>
    <xf numFmtId="0" fontId="2" fillId="15" borderId="79" xfId="0" applyFont="1" applyFill="1" applyBorder="1" applyAlignment="1">
      <alignment vertical="top"/>
    </xf>
    <xf numFmtId="43" fontId="2" fillId="15" borderId="77" xfId="1" applyFont="1" applyFill="1" applyBorder="1" applyAlignment="1">
      <alignment vertical="top"/>
    </xf>
    <xf numFmtId="0" fontId="2" fillId="15" borderId="77" xfId="0" applyFont="1" applyFill="1" applyBorder="1" applyAlignment="1">
      <alignment vertical="top"/>
    </xf>
    <xf numFmtId="0" fontId="2" fillId="15" borderId="129" xfId="0" applyFont="1" applyFill="1" applyBorder="1" applyAlignment="1">
      <alignment vertical="top"/>
    </xf>
    <xf numFmtId="165" fontId="2" fillId="15" borderId="77" xfId="0" applyNumberFormat="1" applyFont="1" applyFill="1" applyBorder="1" applyAlignment="1">
      <alignment vertical="top"/>
    </xf>
    <xf numFmtId="165" fontId="2" fillId="15" borderId="80" xfId="0" applyNumberFormat="1" applyFont="1" applyFill="1" applyBorder="1" applyAlignment="1">
      <alignment vertical="top"/>
    </xf>
    <xf numFmtId="0" fontId="4" fillId="15" borderId="80" xfId="0" applyFont="1" applyFill="1" applyBorder="1" applyAlignment="1">
      <alignment vertical="top"/>
    </xf>
    <xf numFmtId="0" fontId="46" fillId="0" borderId="6" xfId="0" applyFont="1" applyBorder="1" applyAlignment="1">
      <alignment wrapText="1"/>
    </xf>
    <xf numFmtId="0" fontId="16" fillId="4" borderId="63" xfId="0" applyFont="1" applyFill="1" applyBorder="1" applyAlignment="1">
      <alignment vertical="top"/>
    </xf>
    <xf numFmtId="167" fontId="3" fillId="4" borderId="66" xfId="1" applyNumberFormat="1" applyFont="1" applyFill="1" applyBorder="1" applyAlignment="1">
      <alignment vertical="top"/>
    </xf>
    <xf numFmtId="1" fontId="3" fillId="4" borderId="61" xfId="0" applyNumberFormat="1" applyFont="1" applyFill="1" applyBorder="1" applyAlignment="1">
      <alignment vertical="top"/>
    </xf>
    <xf numFmtId="1" fontId="3" fillId="4" borderId="66" xfId="1" applyNumberFormat="1" applyFont="1" applyFill="1" applyBorder="1" applyAlignment="1">
      <alignment horizontal="right" vertical="top"/>
    </xf>
    <xf numFmtId="1" fontId="22" fillId="4" borderId="64" xfId="0" applyNumberFormat="1" applyFont="1" applyFill="1" applyBorder="1" applyAlignment="1">
      <alignment vertical="top"/>
    </xf>
    <xf numFmtId="3" fontId="39" fillId="2" borderId="86" xfId="0" applyNumberFormat="1" applyFont="1" applyFill="1" applyBorder="1" applyAlignment="1">
      <alignment vertical="center"/>
    </xf>
    <xf numFmtId="3" fontId="2" fillId="2" borderId="77" xfId="0" applyNumberFormat="1" applyFont="1" applyFill="1" applyBorder="1" applyAlignment="1">
      <alignment vertical="top"/>
    </xf>
    <xf numFmtId="1" fontId="2" fillId="2" borderId="61" xfId="0" applyNumberFormat="1" applyFont="1" applyFill="1" applyBorder="1" applyAlignment="1">
      <alignment vertical="top"/>
    </xf>
    <xf numFmtId="1" fontId="2" fillId="2" borderId="62" xfId="0" applyNumberFormat="1" applyFont="1" applyFill="1" applyBorder="1" applyAlignment="1">
      <alignment vertical="top"/>
    </xf>
    <xf numFmtId="1" fontId="15" fillId="0" borderId="64" xfId="0" applyNumberFormat="1" applyFont="1" applyFill="1" applyBorder="1" applyAlignment="1">
      <alignment vertical="top"/>
    </xf>
    <xf numFmtId="0" fontId="2" fillId="2" borderId="94" xfId="0" applyFont="1" applyFill="1" applyBorder="1" applyAlignment="1">
      <alignment vertical="top"/>
    </xf>
    <xf numFmtId="1" fontId="2" fillId="2" borderId="67" xfId="0" applyNumberFormat="1" applyFont="1" applyFill="1" applyBorder="1" applyAlignment="1">
      <alignment vertical="top"/>
    </xf>
    <xf numFmtId="1" fontId="2" fillId="2" borderId="68" xfId="0" applyNumberFormat="1" applyFont="1" applyFill="1" applyBorder="1" applyAlignment="1">
      <alignment vertical="top"/>
    </xf>
    <xf numFmtId="1" fontId="4" fillId="0" borderId="70" xfId="0" applyNumberFormat="1" applyFont="1" applyFill="1" applyBorder="1" applyAlignment="1">
      <alignment vertical="top"/>
    </xf>
    <xf numFmtId="0" fontId="1" fillId="0" borderId="19" xfId="0" applyFont="1" applyBorder="1" applyAlignment="1">
      <alignment horizontal="center" wrapText="1"/>
    </xf>
    <xf numFmtId="0" fontId="7" fillId="0" borderId="0" xfId="0" applyFont="1" applyBorder="1" applyAlignment="1">
      <alignment vertical="top"/>
    </xf>
    <xf numFmtId="0" fontId="35" fillId="0" borderId="88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35" fillId="0" borderId="0" xfId="0" applyFont="1" applyFill="1" applyBorder="1" applyAlignment="1">
      <alignment vertical="top"/>
    </xf>
    <xf numFmtId="0" fontId="47" fillId="0" borderId="47" xfId="0" applyFont="1" applyFill="1" applyBorder="1" applyAlignment="1">
      <alignment vertical="top"/>
    </xf>
    <xf numFmtId="0" fontId="47" fillId="0" borderId="0" xfId="0" applyFont="1" applyFill="1" applyBorder="1" applyAlignment="1">
      <alignment vertical="top"/>
    </xf>
    <xf numFmtId="0" fontId="48" fillId="0" borderId="0" xfId="0" applyFont="1" applyFill="1" applyBorder="1" applyAlignment="1">
      <alignment vertical="top"/>
    </xf>
    <xf numFmtId="0" fontId="3" fillId="0" borderId="46" xfId="0" applyFont="1" applyBorder="1" applyAlignment="1">
      <alignment vertical="top"/>
    </xf>
    <xf numFmtId="0" fontId="3" fillId="0" borderId="40" xfId="0" applyFont="1" applyBorder="1" applyAlignment="1">
      <alignment vertical="top"/>
    </xf>
    <xf numFmtId="0" fontId="3" fillId="0" borderId="47" xfId="0" applyFont="1" applyBorder="1" applyAlignment="1">
      <alignment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19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0" fontId="1" fillId="0" borderId="87" xfId="0" applyFont="1" applyBorder="1" applyAlignment="1">
      <alignment horizontal="center" vertical="top" wrapText="1"/>
    </xf>
    <xf numFmtId="0" fontId="1" fillId="0" borderId="88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1" fillId="0" borderId="92" xfId="0" applyFont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6" fillId="0" borderId="0" xfId="0" applyFont="1" applyBorder="1" applyAlignment="1">
      <alignment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Fill="1" applyAlignment="1">
      <alignment vertical="top" wrapText="1"/>
    </xf>
    <xf numFmtId="0" fontId="5" fillId="11" borderId="0" xfId="0" applyFont="1" applyFill="1" applyAlignment="1">
      <alignment vertical="top" wrapText="1"/>
    </xf>
    <xf numFmtId="0" fontId="25" fillId="0" borderId="31" xfId="0" quotePrefix="1" applyFont="1" applyBorder="1" applyAlignment="1">
      <alignment horizontal="center" vertical="center"/>
    </xf>
    <xf numFmtId="0" fontId="25" fillId="2" borderId="48" xfId="0" quotePrefix="1" applyFont="1" applyFill="1" applyBorder="1" applyAlignment="1">
      <alignment horizontal="center" vertical="center"/>
    </xf>
    <xf numFmtId="0" fontId="25" fillId="2" borderId="38" xfId="0" quotePrefix="1" applyFont="1" applyFill="1" applyBorder="1" applyAlignment="1">
      <alignment horizontal="center" vertical="center"/>
    </xf>
    <xf numFmtId="0" fontId="25" fillId="2" borderId="49" xfId="0" quotePrefix="1" applyFont="1" applyFill="1" applyBorder="1" applyAlignment="1">
      <alignment horizontal="center" vertical="center"/>
    </xf>
    <xf numFmtId="0" fontId="25" fillId="2" borderId="36" xfId="0" quotePrefix="1" applyFont="1" applyFill="1" applyBorder="1" applyAlignment="1">
      <alignment horizontal="center" vertical="center"/>
    </xf>
    <xf numFmtId="0" fontId="25" fillId="2" borderId="49" xfId="0" quotePrefix="1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" fillId="0" borderId="20" xfId="0" applyFont="1" applyBorder="1" applyAlignment="1">
      <alignment vertical="top"/>
    </xf>
    <xf numFmtId="0" fontId="1" fillId="0" borderId="88" xfId="0" applyFont="1" applyBorder="1"/>
    <xf numFmtId="0" fontId="4" fillId="0" borderId="8" xfId="0" applyFont="1" applyBorder="1" applyAlignment="1">
      <alignment vertical="center"/>
    </xf>
    <xf numFmtId="0" fontId="1" fillId="0" borderId="88" xfId="0" applyFont="1" applyBorder="1" applyAlignment="1">
      <alignment vertical="center"/>
    </xf>
    <xf numFmtId="0" fontId="4" fillId="0" borderId="8" xfId="0" applyFont="1" applyBorder="1" applyAlignment="1">
      <alignment vertical="top"/>
    </xf>
    <xf numFmtId="43" fontId="15" fillId="2" borderId="46" xfId="1" quotePrefix="1" applyFont="1" applyFill="1" applyBorder="1" applyAlignment="1">
      <alignment vertical="top"/>
    </xf>
    <xf numFmtId="43" fontId="15" fillId="2" borderId="15" xfId="1" quotePrefix="1" applyFont="1" applyFill="1" applyBorder="1" applyAlignment="1">
      <alignment vertical="top"/>
    </xf>
    <xf numFmtId="43" fontId="15" fillId="0" borderId="106" xfId="1" applyFont="1" applyFill="1" applyBorder="1" applyAlignment="1">
      <alignment horizontal="right" vertical="center"/>
    </xf>
    <xf numFmtId="43" fontId="15" fillId="2" borderId="13" xfId="1" quotePrefix="1" applyFont="1" applyFill="1" applyBorder="1" applyAlignment="1">
      <alignment vertical="top"/>
    </xf>
    <xf numFmtId="43" fontId="15" fillId="0" borderId="33" xfId="1" applyFont="1" applyFill="1" applyBorder="1" applyAlignment="1">
      <alignment horizontal="right" vertical="center"/>
    </xf>
    <xf numFmtId="3" fontId="15" fillId="2" borderId="28" xfId="0" quotePrefix="1" applyNumberFormat="1" applyFont="1" applyFill="1" applyBorder="1" applyAlignment="1">
      <alignment vertical="top"/>
    </xf>
    <xf numFmtId="3" fontId="22" fillId="13" borderId="101" xfId="0" applyNumberFormat="1" applyFont="1" applyFill="1" applyBorder="1" applyAlignment="1">
      <alignment vertical="center"/>
    </xf>
    <xf numFmtId="43" fontId="3" fillId="13" borderId="60" xfId="1" applyFont="1" applyFill="1" applyBorder="1" applyAlignment="1">
      <alignment vertical="center"/>
    </xf>
    <xf numFmtId="3" fontId="3" fillId="13" borderId="60" xfId="0" applyNumberFormat="1" applyFont="1" applyFill="1" applyBorder="1" applyAlignment="1">
      <alignment vertical="center"/>
    </xf>
    <xf numFmtId="3" fontId="3" fillId="13" borderId="101" xfId="0" applyNumberFormat="1" applyFont="1" applyFill="1" applyBorder="1" applyAlignment="1">
      <alignment vertical="center"/>
    </xf>
    <xf numFmtId="3" fontId="3" fillId="13" borderId="58" xfId="0" applyNumberFormat="1" applyFont="1" applyFill="1" applyBorder="1" applyAlignment="1">
      <alignment vertical="center"/>
    </xf>
    <xf numFmtId="0" fontId="39" fillId="6" borderId="62" xfId="2" applyFont="1" applyFill="1" applyBorder="1" applyAlignment="1">
      <alignment vertical="center"/>
    </xf>
    <xf numFmtId="3" fontId="15" fillId="6" borderId="71" xfId="0" applyNumberFormat="1" applyFont="1" applyFill="1" applyBorder="1" applyAlignment="1">
      <alignment vertical="center"/>
    </xf>
    <xf numFmtId="43" fontId="15" fillId="6" borderId="64" xfId="1" applyFont="1" applyFill="1" applyBorder="1" applyAlignment="1">
      <alignment vertical="center"/>
    </xf>
    <xf numFmtId="3" fontId="15" fillId="6" borderId="64" xfId="0" applyNumberFormat="1" applyFont="1" applyFill="1" applyBorder="1" applyAlignment="1">
      <alignment vertical="center"/>
    </xf>
    <xf numFmtId="3" fontId="15" fillId="6" borderId="62" xfId="0" applyNumberFormat="1" applyFont="1" applyFill="1" applyBorder="1" applyAlignment="1">
      <alignment vertical="center"/>
    </xf>
    <xf numFmtId="0" fontId="16" fillId="14" borderId="0" xfId="0" applyFont="1" applyFill="1" applyAlignment="1">
      <alignment vertical="center"/>
    </xf>
    <xf numFmtId="0" fontId="2" fillId="6" borderId="62" xfId="2" applyFont="1" applyFill="1" applyBorder="1" applyAlignment="1">
      <alignment vertical="center"/>
    </xf>
    <xf numFmtId="3" fontId="4" fillId="12" borderId="71" xfId="0" applyNumberFormat="1" applyFont="1" applyFill="1" applyBorder="1" applyAlignment="1">
      <alignment vertical="center"/>
    </xf>
    <xf numFmtId="43" fontId="4" fillId="12" borderId="64" xfId="1" applyFont="1" applyFill="1" applyBorder="1" applyAlignment="1">
      <alignment vertical="center"/>
    </xf>
    <xf numFmtId="3" fontId="4" fillId="12" borderId="62" xfId="0" applyNumberFormat="1" applyFont="1" applyFill="1" applyBorder="1" applyAlignment="1">
      <alignment vertical="center"/>
    </xf>
    <xf numFmtId="3" fontId="4" fillId="12" borderId="64" xfId="0" applyNumberFormat="1" applyFont="1" applyFill="1" applyBorder="1" applyAlignment="1">
      <alignment vertical="center"/>
    </xf>
    <xf numFmtId="3" fontId="4" fillId="12" borderId="102" xfId="0" applyNumberFormat="1" applyFont="1" applyFill="1" applyBorder="1" applyAlignment="1">
      <alignment vertical="center"/>
    </xf>
    <xf numFmtId="0" fontId="47" fillId="0" borderId="0" xfId="0" applyFont="1" applyAlignment="1">
      <alignment vertical="top"/>
    </xf>
    <xf numFmtId="165" fontId="15" fillId="6" borderId="62" xfId="0" applyNumberFormat="1" applyFont="1" applyFill="1" applyBorder="1" applyAlignment="1">
      <alignment vertical="center"/>
    </xf>
    <xf numFmtId="3" fontId="15" fillId="6" borderId="102" xfId="0" applyNumberFormat="1" applyFont="1" applyFill="1" applyBorder="1" applyAlignment="1">
      <alignment vertical="center"/>
    </xf>
    <xf numFmtId="165" fontId="4" fillId="12" borderId="62" xfId="0" applyNumberFormat="1" applyFont="1" applyFill="1" applyBorder="1" applyAlignment="1">
      <alignment vertical="center"/>
    </xf>
    <xf numFmtId="0" fontId="16" fillId="14" borderId="0" xfId="0" applyFont="1" applyFill="1" applyAlignment="1">
      <alignment vertical="top"/>
    </xf>
    <xf numFmtId="0" fontId="16" fillId="4" borderId="63" xfId="0" applyFont="1" applyFill="1" applyBorder="1" applyAlignment="1">
      <alignment vertical="top" wrapText="1"/>
    </xf>
    <xf numFmtId="3" fontId="22" fillId="4" borderId="71" xfId="0" applyNumberFormat="1" applyFont="1" applyFill="1" applyBorder="1" applyAlignment="1">
      <alignment vertical="top"/>
    </xf>
    <xf numFmtId="43" fontId="22" fillId="4" borderId="64" xfId="1" applyFont="1" applyFill="1" applyBorder="1" applyAlignment="1">
      <alignment vertical="top"/>
    </xf>
    <xf numFmtId="165" fontId="22" fillId="4" borderId="62" xfId="0" applyNumberFormat="1" applyFont="1" applyFill="1" applyBorder="1" applyAlignment="1">
      <alignment vertical="top"/>
    </xf>
    <xf numFmtId="3" fontId="22" fillId="4" borderId="62" xfId="0" applyNumberFormat="1" applyFont="1" applyFill="1" applyBorder="1" applyAlignment="1">
      <alignment vertical="top"/>
    </xf>
    <xf numFmtId="165" fontId="4" fillId="12" borderId="64" xfId="0" applyNumberFormat="1" applyFont="1" applyFill="1" applyBorder="1" applyAlignment="1">
      <alignment vertical="center"/>
    </xf>
    <xf numFmtId="0" fontId="4" fillId="6" borderId="68" xfId="0" applyFont="1" applyFill="1" applyBorder="1" applyAlignment="1">
      <alignment vertical="top" wrapText="1"/>
    </xf>
    <xf numFmtId="3" fontId="4" fillId="12" borderId="67" xfId="0" applyNumberFormat="1" applyFont="1" applyFill="1" applyBorder="1" applyAlignment="1">
      <alignment vertical="center"/>
    </xf>
    <xf numFmtId="43" fontId="15" fillId="6" borderId="68" xfId="1" applyFont="1" applyFill="1" applyBorder="1" applyAlignment="1">
      <alignment vertical="center"/>
    </xf>
    <xf numFmtId="3" fontId="4" fillId="12" borderId="68" xfId="0" applyNumberFormat="1" applyFont="1" applyFill="1" applyBorder="1" applyAlignment="1">
      <alignment vertical="center"/>
    </xf>
    <xf numFmtId="3" fontId="4" fillId="12" borderId="69" xfId="0" applyNumberFormat="1" applyFont="1" applyFill="1" applyBorder="1" applyAlignment="1">
      <alignment vertical="center"/>
    </xf>
    <xf numFmtId="3" fontId="4" fillId="12" borderId="103" xfId="0" applyNumberFormat="1" applyFont="1" applyFill="1" applyBorder="1" applyAlignment="1">
      <alignment vertical="center"/>
    </xf>
    <xf numFmtId="3" fontId="4" fillId="12" borderId="70" xfId="0" applyNumberFormat="1" applyFont="1" applyFill="1" applyBorder="1" applyAlignment="1">
      <alignment vertical="center"/>
    </xf>
    <xf numFmtId="0" fontId="3" fillId="8" borderId="20" xfId="0" applyFont="1" applyFill="1" applyBorder="1" applyAlignment="1">
      <alignment vertical="center" wrapText="1"/>
    </xf>
    <xf numFmtId="0" fontId="6" fillId="8" borderId="81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vertical="top"/>
    </xf>
    <xf numFmtId="43" fontId="2" fillId="8" borderId="8" xfId="1" applyFont="1" applyFill="1" applyBorder="1" applyAlignment="1">
      <alignment vertical="top"/>
    </xf>
    <xf numFmtId="0" fontId="2" fillId="8" borderId="8" xfId="0" applyFont="1" applyFill="1" applyBorder="1" applyAlignment="1">
      <alignment vertical="top"/>
    </xf>
    <xf numFmtId="0" fontId="2" fillId="8" borderId="10" xfId="0" applyFont="1" applyFill="1" applyBorder="1" applyAlignment="1">
      <alignment vertical="top"/>
    </xf>
    <xf numFmtId="0" fontId="2" fillId="8" borderId="17" xfId="0" applyFont="1" applyFill="1" applyBorder="1" applyAlignment="1">
      <alignment vertical="top"/>
    </xf>
    <xf numFmtId="165" fontId="2" fillId="8" borderId="20" xfId="0" applyNumberFormat="1" applyFont="1" applyFill="1" applyBorder="1" applyAlignment="1">
      <alignment vertical="top"/>
    </xf>
    <xf numFmtId="3" fontId="2" fillId="8" borderId="20" xfId="0" applyNumberFormat="1" applyFont="1" applyFill="1" applyBorder="1" applyAlignment="1">
      <alignment vertical="top"/>
    </xf>
    <xf numFmtId="165" fontId="2" fillId="8" borderId="58" xfId="0" applyNumberFormat="1" applyFont="1" applyFill="1" applyBorder="1" applyAlignment="1">
      <alignment vertical="top"/>
    </xf>
    <xf numFmtId="0" fontId="2" fillId="8" borderId="20" xfId="0" applyFont="1" applyFill="1" applyBorder="1" applyAlignment="1">
      <alignment vertical="top"/>
    </xf>
    <xf numFmtId="167" fontId="3" fillId="4" borderId="62" xfId="1" applyNumberFormat="1" applyFont="1" applyFill="1" applyBorder="1" applyAlignment="1"/>
    <xf numFmtId="3" fontId="15" fillId="2" borderId="8" xfId="2" applyNumberFormat="1" applyFont="1" applyFill="1" applyBorder="1" applyAlignment="1">
      <alignment vertical="top" wrapText="1"/>
    </xf>
    <xf numFmtId="167" fontId="15" fillId="2" borderId="62" xfId="1" applyNumberFormat="1" applyFont="1" applyFill="1" applyBorder="1" applyAlignment="1"/>
    <xf numFmtId="165" fontId="15" fillId="2" borderId="62" xfId="2" applyNumberFormat="1" applyFont="1" applyFill="1" applyBorder="1" applyAlignment="1">
      <alignment horizontal="right" vertical="center"/>
    </xf>
    <xf numFmtId="3" fontId="39" fillId="2" borderId="62" xfId="2" applyNumberFormat="1" applyFont="1" applyFill="1" applyBorder="1" applyAlignment="1">
      <alignment horizontal="right" vertical="center"/>
    </xf>
    <xf numFmtId="3" fontId="1" fillId="0" borderId="7" xfId="3" applyNumberFormat="1" applyFont="1" applyFill="1" applyBorder="1" applyAlignment="1">
      <alignment vertical="center"/>
    </xf>
    <xf numFmtId="167" fontId="2" fillId="0" borderId="62" xfId="1" applyNumberFormat="1" applyFont="1" applyFill="1" applyBorder="1" applyAlignment="1">
      <alignment horizontal="right" vertical="center"/>
    </xf>
    <xf numFmtId="3" fontId="2" fillId="0" borderId="10" xfId="2" applyNumberFormat="1" applyFont="1" applyFill="1" applyBorder="1" applyAlignment="1">
      <alignment horizontal="right" vertical="center"/>
    </xf>
    <xf numFmtId="167" fontId="15" fillId="0" borderId="62" xfId="1" applyNumberFormat="1" applyFont="1" applyFill="1" applyBorder="1" applyAlignment="1">
      <alignment horizontal="right" vertical="center"/>
    </xf>
    <xf numFmtId="0" fontId="2" fillId="2" borderId="8" xfId="2" applyFont="1" applyFill="1" applyBorder="1" applyAlignment="1">
      <alignment vertical="top" wrapText="1"/>
    </xf>
    <xf numFmtId="167" fontId="2" fillId="0" borderId="77" xfId="1" applyNumberFormat="1" applyFont="1" applyFill="1" applyBorder="1" applyAlignment="1">
      <alignment horizontal="right" vertical="center"/>
    </xf>
    <xf numFmtId="165" fontId="2" fillId="0" borderId="8" xfId="2" applyNumberFormat="1" applyFont="1" applyFill="1" applyBorder="1" applyAlignment="1">
      <alignment horizontal="right" vertical="center"/>
    </xf>
    <xf numFmtId="3" fontId="2" fillId="0" borderId="8" xfId="2" applyNumberFormat="1" applyFont="1" applyFill="1" applyBorder="1" applyAlignment="1">
      <alignment horizontal="right" vertical="center"/>
    </xf>
    <xf numFmtId="0" fontId="7" fillId="4" borderId="6" xfId="2" applyFont="1" applyFill="1" applyBorder="1" applyAlignment="1">
      <alignment horizontal="left" vertical="center"/>
    </xf>
    <xf numFmtId="3" fontId="3" fillId="4" borderId="93" xfId="2" applyNumberFormat="1" applyFont="1" applyFill="1" applyBorder="1" applyAlignment="1"/>
    <xf numFmtId="43" fontId="3" fillId="4" borderId="77" xfId="1" applyFont="1" applyFill="1" applyBorder="1" applyAlignment="1"/>
    <xf numFmtId="167" fontId="3" fillId="4" borderId="8" xfId="1" applyNumberFormat="1" applyFont="1" applyFill="1" applyBorder="1" applyAlignment="1"/>
    <xf numFmtId="3" fontId="3" fillId="4" borderId="8" xfId="2" applyNumberFormat="1" applyFont="1" applyFill="1" applyBorder="1" applyAlignment="1"/>
    <xf numFmtId="3" fontId="3" fillId="4" borderId="10" xfId="2" applyNumberFormat="1" applyFont="1" applyFill="1" applyBorder="1" applyAlignment="1"/>
    <xf numFmtId="3" fontId="3" fillId="4" borderId="79" xfId="2" applyNumberFormat="1" applyFont="1" applyFill="1" applyBorder="1" applyAlignment="1"/>
    <xf numFmtId="0" fontId="15" fillId="2" borderId="62" xfId="2" applyFont="1" applyFill="1" applyBorder="1" applyAlignment="1">
      <alignment vertical="center"/>
    </xf>
    <xf numFmtId="3" fontId="29" fillId="0" borderId="93" xfId="3" applyNumberFormat="1" applyFont="1" applyFill="1" applyBorder="1" applyAlignment="1">
      <alignment vertical="center"/>
    </xf>
    <xf numFmtId="167" fontId="29" fillId="0" borderId="62" xfId="1" applyNumberFormat="1" applyFont="1" applyFill="1" applyBorder="1" applyAlignment="1">
      <alignment vertical="center"/>
    </xf>
    <xf numFmtId="3" fontId="29" fillId="0" borderId="7" xfId="3" applyNumberFormat="1" applyFont="1" applyFill="1" applyBorder="1" applyAlignment="1">
      <alignment vertical="center"/>
    </xf>
    <xf numFmtId="165" fontId="29" fillId="0" borderId="8" xfId="3" applyNumberFormat="1" applyFont="1" applyFill="1" applyBorder="1" applyAlignment="1">
      <alignment vertical="center"/>
    </xf>
    <xf numFmtId="3" fontId="29" fillId="0" borderId="8" xfId="3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68" xfId="2" applyFont="1" applyFill="1" applyBorder="1" applyAlignment="1">
      <alignment vertical="top" wrapText="1"/>
    </xf>
    <xf numFmtId="167" fontId="2" fillId="0" borderId="68" xfId="1" applyNumberFormat="1" applyFont="1" applyFill="1" applyBorder="1" applyAlignment="1">
      <alignment horizontal="right" vertical="center"/>
    </xf>
    <xf numFmtId="165" fontId="2" fillId="2" borderId="68" xfId="2" applyNumberFormat="1" applyFont="1" applyFill="1" applyBorder="1" applyAlignment="1">
      <alignment horizontal="right" vertical="center"/>
    </xf>
    <xf numFmtId="43" fontId="2" fillId="8" borderId="20" xfId="1" applyFont="1" applyFill="1" applyBorder="1" applyAlignment="1">
      <alignment vertical="top"/>
    </xf>
    <xf numFmtId="0" fontId="2" fillId="8" borderId="34" xfId="0" applyFont="1" applyFill="1" applyBorder="1" applyAlignment="1">
      <alignment vertical="top"/>
    </xf>
    <xf numFmtId="41" fontId="3" fillId="4" borderId="62" xfId="1" applyNumberFormat="1" applyFont="1" applyFill="1" applyBorder="1" applyAlignment="1"/>
    <xf numFmtId="41" fontId="15" fillId="2" borderId="62" xfId="1" applyNumberFormat="1" applyFont="1" applyFill="1" applyBorder="1" applyAlignment="1"/>
    <xf numFmtId="41" fontId="2" fillId="0" borderId="62" xfId="1" applyNumberFormat="1" applyFont="1" applyFill="1" applyBorder="1" applyAlignment="1">
      <alignment horizontal="right" vertical="center"/>
    </xf>
    <xf numFmtId="41" fontId="15" fillId="0" borderId="62" xfId="1" applyNumberFormat="1" applyFont="1" applyFill="1" applyBorder="1" applyAlignment="1">
      <alignment horizontal="right" vertical="center"/>
    </xf>
    <xf numFmtId="0" fontId="2" fillId="2" borderId="62" xfId="2" applyFont="1" applyFill="1" applyBorder="1" applyAlignment="1">
      <alignment vertical="top" wrapText="1"/>
    </xf>
    <xf numFmtId="41" fontId="29" fillId="0" borderId="62" xfId="1" applyNumberFormat="1" applyFont="1" applyFill="1" applyBorder="1" applyAlignment="1">
      <alignment vertical="center"/>
    </xf>
    <xf numFmtId="41" fontId="2" fillId="0" borderId="68" xfId="1" applyNumberFormat="1" applyFont="1" applyFill="1" applyBorder="1" applyAlignment="1">
      <alignment horizontal="right" vertical="center"/>
    </xf>
    <xf numFmtId="0" fontId="35" fillId="8" borderId="81" xfId="0" applyFont="1" applyFill="1" applyBorder="1" applyAlignment="1">
      <alignment horizontal="center" vertical="center" wrapText="1"/>
    </xf>
    <xf numFmtId="3" fontId="39" fillId="2" borderId="8" xfId="2" applyNumberFormat="1" applyFont="1" applyFill="1" applyBorder="1" applyAlignment="1">
      <alignment vertical="top" wrapText="1"/>
    </xf>
    <xf numFmtId="165" fontId="39" fillId="2" borderId="62" xfId="2" applyNumberFormat="1" applyFont="1" applyFill="1" applyBorder="1" applyAlignment="1">
      <alignment horizontal="right" vertical="center"/>
    </xf>
    <xf numFmtId="0" fontId="5" fillId="4" borderId="63" xfId="0" applyFont="1" applyFill="1" applyBorder="1" applyAlignment="1">
      <alignment horizontal="left" vertical="center" wrapText="1"/>
    </xf>
    <xf numFmtId="0" fontId="39" fillId="2" borderId="62" xfId="2" applyFont="1" applyFill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2" fillId="2" borderId="0" xfId="2" applyFont="1" applyFill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top"/>
    </xf>
    <xf numFmtId="165" fontId="2" fillId="2" borderId="0" xfId="2" applyNumberFormat="1" applyFont="1" applyFill="1" applyBorder="1" applyAlignment="1">
      <alignment horizontal="right" vertical="center"/>
    </xf>
    <xf numFmtId="3" fontId="2" fillId="2" borderId="0" xfId="2" applyNumberFormat="1" applyFont="1" applyFill="1" applyBorder="1" applyAlignment="1">
      <alignment horizontal="right" vertical="center"/>
    </xf>
    <xf numFmtId="0" fontId="5" fillId="0" borderId="88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/>
    </xf>
    <xf numFmtId="0" fontId="32" fillId="0" borderId="34" xfId="0" quotePrefix="1" applyFont="1" applyBorder="1" applyAlignment="1">
      <alignment horizontal="center" vertical="center"/>
    </xf>
    <xf numFmtId="3" fontId="15" fillId="2" borderId="17" xfId="0" quotePrefix="1" applyNumberFormat="1" applyFont="1" applyFill="1" applyBorder="1" applyAlignment="1">
      <alignment vertical="center"/>
    </xf>
    <xf numFmtId="3" fontId="15" fillId="2" borderId="20" xfId="0" quotePrefix="1" applyNumberFormat="1" applyFont="1" applyFill="1" applyBorder="1" applyAlignment="1">
      <alignment vertical="center"/>
    </xf>
    <xf numFmtId="3" fontId="15" fillId="2" borderId="81" xfId="0" quotePrefix="1" applyNumberFormat="1" applyFont="1" applyFill="1" applyBorder="1" applyAlignment="1">
      <alignment vertical="center"/>
    </xf>
    <xf numFmtId="3" fontId="15" fillId="2" borderId="18" xfId="0" quotePrefix="1" applyNumberFormat="1" applyFont="1" applyFill="1" applyBorder="1" applyAlignment="1">
      <alignment vertical="center"/>
    </xf>
    <xf numFmtId="165" fontId="15" fillId="0" borderId="20" xfId="2" applyNumberFormat="1" applyFont="1" applyFill="1" applyBorder="1" applyAlignment="1">
      <alignment horizontal="right" vertical="center"/>
    </xf>
    <xf numFmtId="0" fontId="40" fillId="0" borderId="125" xfId="0" applyFont="1" applyBorder="1" applyAlignment="1">
      <alignment vertical="top"/>
    </xf>
    <xf numFmtId="0" fontId="27" fillId="0" borderId="115" xfId="0" quotePrefix="1" applyFont="1" applyBorder="1" applyAlignment="1">
      <alignment horizontal="center" vertical="top"/>
    </xf>
    <xf numFmtId="43" fontId="15" fillId="2" borderId="122" xfId="1" quotePrefix="1" applyFont="1" applyFill="1" applyBorder="1" applyAlignment="1">
      <alignment vertical="top"/>
    </xf>
    <xf numFmtId="43" fontId="15" fillId="2" borderId="111" xfId="1" quotePrefix="1" applyFont="1" applyFill="1" applyBorder="1" applyAlignment="1">
      <alignment vertical="top"/>
    </xf>
    <xf numFmtId="43" fontId="15" fillId="2" borderId="112" xfId="1" quotePrefix="1" applyFont="1" applyFill="1" applyBorder="1" applyAlignment="1">
      <alignment vertical="top"/>
    </xf>
    <xf numFmtId="43" fontId="15" fillId="2" borderId="123" xfId="1" quotePrefix="1" applyFont="1" applyFill="1" applyBorder="1" applyAlignment="1">
      <alignment vertical="top"/>
    </xf>
    <xf numFmtId="43" fontId="15" fillId="0" borderId="111" xfId="1" applyFont="1" applyFill="1" applyBorder="1" applyAlignment="1">
      <alignment horizontal="right" vertical="center"/>
    </xf>
    <xf numFmtId="3" fontId="15" fillId="2" borderId="111" xfId="0" quotePrefix="1" applyNumberFormat="1" applyFont="1" applyFill="1" applyBorder="1" applyAlignment="1">
      <alignment vertical="top"/>
    </xf>
    <xf numFmtId="0" fontId="40" fillId="0" borderId="65" xfId="0" applyFont="1" applyBorder="1" applyAlignment="1">
      <alignment vertical="top"/>
    </xf>
    <xf numFmtId="0" fontId="15" fillId="0" borderId="106" xfId="0" applyFont="1" applyBorder="1" applyAlignment="1">
      <alignment horizontal="left" vertical="top"/>
    </xf>
    <xf numFmtId="0" fontId="27" fillId="0" borderId="133" xfId="0" quotePrefix="1" applyFont="1" applyBorder="1" applyAlignment="1">
      <alignment horizontal="center" vertical="top"/>
    </xf>
    <xf numFmtId="3" fontId="15" fillId="2" borderId="32" xfId="0" quotePrefix="1" applyNumberFormat="1" applyFont="1" applyFill="1" applyBorder="1" applyAlignment="1">
      <alignment vertical="top"/>
    </xf>
    <xf numFmtId="0" fontId="40" fillId="0" borderId="100" xfId="0" applyFont="1" applyBorder="1" applyAlignment="1">
      <alignment vertical="top"/>
    </xf>
    <xf numFmtId="0" fontId="16" fillId="4" borderId="60" xfId="0" applyFont="1" applyFill="1" applyBorder="1" applyAlignment="1">
      <alignment vertical="top"/>
    </xf>
    <xf numFmtId="3" fontId="22" fillId="4" borderId="57" xfId="0" applyNumberFormat="1" applyFont="1" applyFill="1" applyBorder="1" applyAlignment="1">
      <alignment vertical="top"/>
    </xf>
    <xf numFmtId="3" fontId="22" fillId="4" borderId="58" xfId="0" applyNumberFormat="1" applyFont="1" applyFill="1" applyBorder="1" applyAlignment="1">
      <alignment vertical="top"/>
    </xf>
    <xf numFmtId="3" fontId="22" fillId="4" borderId="60" xfId="0" applyNumberFormat="1" applyFont="1" applyFill="1" applyBorder="1" applyAlignment="1">
      <alignment vertical="top"/>
    </xf>
    <xf numFmtId="164" fontId="22" fillId="4" borderId="58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11" borderId="0" xfId="0" applyFont="1" applyFill="1" applyAlignment="1">
      <alignment vertical="top"/>
    </xf>
    <xf numFmtId="3" fontId="15" fillId="17" borderId="62" xfId="2" applyNumberFormat="1" applyFont="1" applyFill="1" applyBorder="1" applyAlignment="1">
      <alignment vertical="top" wrapText="1"/>
    </xf>
    <xf numFmtId="164" fontId="15" fillId="17" borderId="62" xfId="0" applyNumberFormat="1" applyFont="1" applyFill="1" applyBorder="1" applyAlignment="1">
      <alignment vertical="top"/>
    </xf>
    <xf numFmtId="164" fontId="22" fillId="17" borderId="62" xfId="0" applyNumberFormat="1" applyFont="1" applyFill="1" applyBorder="1" applyAlignment="1">
      <alignment vertical="top"/>
    </xf>
    <xf numFmtId="0" fontId="4" fillId="17" borderId="62" xfId="0" applyFont="1" applyFill="1" applyBorder="1" applyAlignment="1">
      <alignment vertical="top" wrapText="1"/>
    </xf>
    <xf numFmtId="164" fontId="4" fillId="17" borderId="62" xfId="0" applyNumberFormat="1" applyFont="1" applyFill="1" applyBorder="1" applyAlignment="1">
      <alignment vertical="top"/>
    </xf>
    <xf numFmtId="0" fontId="15" fillId="17" borderId="62" xfId="2" applyFont="1" applyFill="1" applyBorder="1" applyAlignment="1">
      <alignment vertical="top"/>
    </xf>
    <xf numFmtId="0" fontId="4" fillId="17" borderId="62" xfId="2" applyFont="1" applyFill="1" applyBorder="1" applyAlignment="1">
      <alignment vertical="center"/>
    </xf>
    <xf numFmtId="3" fontId="4" fillId="17" borderId="66" xfId="0" applyNumberFormat="1" applyFont="1" applyFill="1" applyBorder="1" applyAlignment="1">
      <alignment vertical="top"/>
    </xf>
    <xf numFmtId="0" fontId="28" fillId="4" borderId="64" xfId="0" applyFont="1" applyFill="1" applyBorder="1" applyAlignment="1">
      <alignment horizontal="center" vertical="center"/>
    </xf>
    <xf numFmtId="3" fontId="22" fillId="4" borderId="61" xfId="0" applyNumberFormat="1" applyFont="1" applyFill="1" applyBorder="1" applyAlignment="1">
      <alignment vertical="top"/>
    </xf>
    <xf numFmtId="164" fontId="22" fillId="4" borderId="62" xfId="0" applyNumberFormat="1" applyFont="1" applyFill="1" applyBorder="1" applyAlignment="1">
      <alignment vertical="top"/>
    </xf>
    <xf numFmtId="0" fontId="28" fillId="17" borderId="64" xfId="0" applyFont="1" applyFill="1" applyBorder="1" applyAlignment="1">
      <alignment horizontal="center" vertical="center"/>
    </xf>
    <xf numFmtId="3" fontId="22" fillId="17" borderId="61" xfId="0" applyNumberFormat="1" applyFont="1" applyFill="1" applyBorder="1" applyAlignment="1">
      <alignment vertical="top"/>
    </xf>
    <xf numFmtId="3" fontId="22" fillId="17" borderId="62" xfId="0" applyNumberFormat="1" applyFont="1" applyFill="1" applyBorder="1" applyAlignment="1">
      <alignment vertical="top"/>
    </xf>
    <xf numFmtId="3" fontId="22" fillId="17" borderId="64" xfId="0" applyNumberFormat="1" applyFont="1" applyFill="1" applyBorder="1" applyAlignment="1">
      <alignment vertical="top"/>
    </xf>
    <xf numFmtId="0" fontId="15" fillId="17" borderId="62" xfId="2" applyFont="1" applyFill="1" applyBorder="1" applyAlignment="1">
      <alignment vertical="center"/>
    </xf>
    <xf numFmtId="0" fontId="4" fillId="17" borderId="68" xfId="2" applyFont="1" applyFill="1" applyBorder="1" applyAlignment="1">
      <alignment vertical="center"/>
    </xf>
    <xf numFmtId="3" fontId="4" fillId="17" borderId="67" xfId="0" applyNumberFormat="1" applyFont="1" applyFill="1" applyBorder="1" applyAlignment="1">
      <alignment vertical="top"/>
    </xf>
    <xf numFmtId="3" fontId="4" fillId="17" borderId="96" xfId="0" applyNumberFormat="1" applyFont="1" applyFill="1" applyBorder="1" applyAlignment="1">
      <alignment vertical="top"/>
    </xf>
    <xf numFmtId="164" fontId="4" fillId="17" borderId="68" xfId="0" applyNumberFormat="1" applyFont="1" applyFill="1" applyBorder="1" applyAlignment="1">
      <alignment vertical="top"/>
    </xf>
    <xf numFmtId="0" fontId="3" fillId="15" borderId="58" xfId="0" applyFont="1" applyFill="1" applyBorder="1" applyAlignment="1">
      <alignment vertical="center" wrapText="1"/>
    </xf>
    <xf numFmtId="0" fontId="2" fillId="15" borderId="57" xfId="0" applyFont="1" applyFill="1" applyBorder="1" applyAlignment="1">
      <alignment horizontal="center" vertical="center" wrapText="1"/>
    </xf>
    <xf numFmtId="0" fontId="2" fillId="15" borderId="60" xfId="0" applyFont="1" applyFill="1" applyBorder="1" applyAlignment="1">
      <alignment vertical="top"/>
    </xf>
    <xf numFmtId="0" fontId="4" fillId="15" borderId="57" xfId="0" applyFont="1" applyFill="1" applyBorder="1" applyAlignment="1">
      <alignment vertical="top"/>
    </xf>
    <xf numFmtId="43" fontId="3" fillId="4" borderId="62" xfId="1" applyFont="1" applyFill="1" applyBorder="1" applyAlignment="1">
      <alignment vertical="top"/>
    </xf>
    <xf numFmtId="3" fontId="3" fillId="4" borderId="64" xfId="0" applyNumberFormat="1" applyFont="1" applyFill="1" applyBorder="1" applyAlignment="1">
      <alignment vertical="top"/>
    </xf>
    <xf numFmtId="43" fontId="3" fillId="4" borderId="62" xfId="1" applyFont="1" applyFill="1" applyBorder="1" applyAlignment="1">
      <alignment horizontal="right" vertical="top"/>
    </xf>
    <xf numFmtId="164" fontId="3" fillId="4" borderId="62" xfId="0" applyNumberFormat="1" applyFont="1" applyFill="1" applyBorder="1" applyAlignment="1">
      <alignment vertical="top"/>
    </xf>
    <xf numFmtId="43" fontId="22" fillId="4" borderId="62" xfId="1" applyFont="1" applyFill="1" applyBorder="1" applyAlignment="1">
      <alignment vertical="top"/>
    </xf>
    <xf numFmtId="3" fontId="39" fillId="0" borderId="61" xfId="0" applyNumberFormat="1" applyFont="1" applyFill="1" applyBorder="1" applyAlignment="1">
      <alignment vertical="center"/>
    </xf>
    <xf numFmtId="3" fontId="39" fillId="0" borderId="62" xfId="0" applyNumberFormat="1" applyFont="1" applyFill="1" applyBorder="1" applyAlignment="1">
      <alignment vertical="center"/>
    </xf>
    <xf numFmtId="43" fontId="39" fillId="0" borderId="62" xfId="1" applyFont="1" applyFill="1" applyBorder="1" applyAlignment="1">
      <alignment vertical="center"/>
    </xf>
    <xf numFmtId="3" fontId="4" fillId="0" borderId="102" xfId="0" applyNumberFormat="1" applyFont="1" applyFill="1" applyBorder="1" applyAlignment="1">
      <alignment vertical="top"/>
    </xf>
    <xf numFmtId="3" fontId="39" fillId="0" borderId="64" xfId="0" applyNumberFormat="1" applyFont="1" applyFill="1" applyBorder="1" applyAlignment="1">
      <alignment vertical="center"/>
    </xf>
    <xf numFmtId="43" fontId="15" fillId="0" borderId="62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68" xfId="0" applyFont="1" applyFill="1" applyBorder="1" applyAlignment="1">
      <alignment vertical="center"/>
    </xf>
    <xf numFmtId="3" fontId="24" fillId="0" borderId="67" xfId="0" applyNumberFormat="1" applyFont="1" applyFill="1" applyBorder="1" applyAlignment="1">
      <alignment vertical="top"/>
    </xf>
    <xf numFmtId="3" fontId="2" fillId="0" borderId="68" xfId="0" applyNumberFormat="1" applyFont="1" applyFill="1" applyBorder="1" applyAlignment="1">
      <alignment vertical="top"/>
    </xf>
    <xf numFmtId="43" fontId="2" fillId="0" borderId="68" xfId="1" applyFont="1" applyFill="1" applyBorder="1" applyAlignment="1">
      <alignment vertical="top"/>
    </xf>
    <xf numFmtId="3" fontId="2" fillId="0" borderId="70" xfId="0" applyNumberFormat="1" applyFont="1" applyFill="1" applyBorder="1" applyAlignment="1">
      <alignment vertical="top"/>
    </xf>
    <xf numFmtId="43" fontId="2" fillId="0" borderId="68" xfId="1" applyFont="1" applyFill="1" applyBorder="1" applyAlignment="1">
      <alignment horizontal="right" vertical="top"/>
    </xf>
    <xf numFmtId="43" fontId="4" fillId="0" borderId="68" xfId="1" applyFont="1" applyFill="1" applyBorder="1" applyAlignment="1">
      <alignment vertical="top"/>
    </xf>
    <xf numFmtId="0" fontId="3" fillId="15" borderId="60" xfId="0" applyFont="1" applyFill="1" applyBorder="1" applyAlignment="1">
      <alignment horizontal="left" vertical="center" wrapText="1"/>
    </xf>
    <xf numFmtId="3" fontId="22" fillId="4" borderId="66" xfId="0" applyNumberFormat="1" applyFont="1" applyFill="1" applyBorder="1" applyAlignment="1">
      <alignment vertical="top"/>
    </xf>
    <xf numFmtId="3" fontId="22" fillId="4" borderId="102" xfId="0" applyNumberFormat="1" applyFont="1" applyFill="1" applyBorder="1" applyAlignment="1">
      <alignment vertical="top"/>
    </xf>
    <xf numFmtId="3" fontId="39" fillId="2" borderId="64" xfId="2" applyNumberFormat="1" applyFont="1" applyFill="1" applyBorder="1" applyAlignment="1">
      <alignment vertical="top" wrapText="1"/>
    </xf>
    <xf numFmtId="3" fontId="15" fillId="0" borderId="66" xfId="0" applyNumberFormat="1" applyFont="1" applyFill="1" applyBorder="1" applyAlignment="1">
      <alignment vertical="top"/>
    </xf>
    <xf numFmtId="3" fontId="15" fillId="0" borderId="102" xfId="0" applyNumberFormat="1" applyFont="1" applyFill="1" applyBorder="1" applyAlignment="1">
      <alignment vertical="top"/>
    </xf>
    <xf numFmtId="3" fontId="39" fillId="0" borderId="62" xfId="0" applyNumberFormat="1" applyFont="1" applyFill="1" applyBorder="1" applyAlignment="1">
      <alignment vertical="top"/>
    </xf>
    <xf numFmtId="0" fontId="2" fillId="0" borderId="64" xfId="0" applyFont="1" applyFill="1" applyBorder="1" applyAlignment="1">
      <alignment vertical="top" wrapText="1"/>
    </xf>
    <xf numFmtId="3" fontId="4" fillId="0" borderId="66" xfId="0" applyNumberFormat="1" applyFont="1" applyFill="1" applyBorder="1" applyAlignment="1">
      <alignment vertical="top"/>
    </xf>
    <xf numFmtId="0" fontId="39" fillId="2" borderId="64" xfId="2" applyFont="1" applyFill="1" applyBorder="1" applyAlignment="1">
      <alignment vertical="top"/>
    </xf>
    <xf numFmtId="0" fontId="2" fillId="0" borderId="64" xfId="2" applyFont="1" applyFill="1" applyBorder="1" applyAlignment="1">
      <alignment vertical="center"/>
    </xf>
    <xf numFmtId="0" fontId="28" fillId="4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vertical="top"/>
    </xf>
    <xf numFmtId="3" fontId="4" fillId="2" borderId="66" xfId="0" applyNumberFormat="1" applyFont="1" applyFill="1" applyBorder="1" applyAlignment="1">
      <alignment vertical="top"/>
    </xf>
    <xf numFmtId="0" fontId="39" fillId="0" borderId="64" xfId="2" applyFont="1" applyFill="1" applyBorder="1" applyAlignment="1">
      <alignment vertical="center"/>
    </xf>
    <xf numFmtId="3" fontId="4" fillId="0" borderId="96" xfId="0" applyNumberFormat="1" applyFont="1" applyFill="1" applyBorder="1" applyAlignment="1">
      <alignment vertical="top"/>
    </xf>
    <xf numFmtId="164" fontId="2" fillId="0" borderId="68" xfId="0" applyNumberFormat="1" applyFont="1" applyFill="1" applyBorder="1" applyAlignment="1">
      <alignment vertical="top"/>
    </xf>
    <xf numFmtId="0" fontId="2" fillId="0" borderId="70" xfId="0" applyFont="1" applyFill="1" applyBorder="1" applyAlignment="1">
      <alignment vertical="top" wrapText="1"/>
    </xf>
    <xf numFmtId="3" fontId="4" fillId="0" borderId="69" xfId="0" applyNumberFormat="1" applyFont="1" applyFill="1" applyBorder="1" applyAlignment="1">
      <alignment vertical="top"/>
    </xf>
    <xf numFmtId="3" fontId="4" fillId="2" borderId="67" xfId="0" applyNumberFormat="1" applyFont="1" applyFill="1" applyBorder="1" applyAlignment="1">
      <alignment vertical="top"/>
    </xf>
    <xf numFmtId="3" fontId="4" fillId="2" borderId="68" xfId="0" applyNumberFormat="1" applyFont="1" applyFill="1" applyBorder="1" applyAlignment="1">
      <alignment vertical="top"/>
    </xf>
    <xf numFmtId="0" fontId="6" fillId="0" borderId="47" xfId="0" applyFont="1" applyBorder="1" applyAlignment="1">
      <alignment vertical="top"/>
    </xf>
    <xf numFmtId="0" fontId="5" fillId="0" borderId="88" xfId="0" applyFont="1" applyBorder="1" applyAlignment="1">
      <alignment horizontal="center" vertical="top" wrapText="1"/>
    </xf>
    <xf numFmtId="0" fontId="6" fillId="0" borderId="46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16" fillId="0" borderId="12" xfId="0" applyFont="1" applyBorder="1" applyAlignment="1">
      <alignment vertical="top"/>
    </xf>
    <xf numFmtId="0" fontId="5" fillId="0" borderId="92" xfId="0" applyFont="1" applyBorder="1" applyAlignment="1">
      <alignment horizontal="center" vertical="top" wrapText="1"/>
    </xf>
    <xf numFmtId="0" fontId="6" fillId="0" borderId="40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16" fillId="0" borderId="19" xfId="0" applyFont="1" applyBorder="1" applyAlignment="1">
      <alignment vertical="top"/>
    </xf>
    <xf numFmtId="0" fontId="5" fillId="0" borderId="87" xfId="0" applyFont="1" applyBorder="1" applyAlignment="1">
      <alignment horizontal="center" vertical="top" wrapText="1"/>
    </xf>
    <xf numFmtId="0" fontId="6" fillId="0" borderId="101" xfId="0" applyFont="1" applyBorder="1" applyAlignment="1">
      <alignment vertical="top"/>
    </xf>
    <xf numFmtId="0" fontId="6" fillId="0" borderId="71" xfId="0" applyFont="1" applyBorder="1" applyAlignment="1">
      <alignment vertical="top"/>
    </xf>
    <xf numFmtId="0" fontId="6" fillId="0" borderId="72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5" fillId="0" borderId="88" xfId="0" applyFont="1" applyBorder="1" applyAlignment="1">
      <alignment vertical="top"/>
    </xf>
    <xf numFmtId="0" fontId="5" fillId="0" borderId="87" xfId="0" applyFont="1" applyBorder="1" applyAlignment="1">
      <alignment vertical="top"/>
    </xf>
    <xf numFmtId="0" fontId="5" fillId="0" borderId="92" xfId="0" applyFont="1" applyBorder="1" applyAlignment="1">
      <alignment vertical="top"/>
    </xf>
    <xf numFmtId="3" fontId="1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44" fillId="0" borderId="0" xfId="0" applyFont="1" applyFill="1" applyAlignment="1">
      <alignment vertical="top"/>
    </xf>
    <xf numFmtId="3" fontId="16" fillId="0" borderId="0" xfId="0" applyNumberFormat="1" applyFont="1" applyFill="1" applyAlignment="1">
      <alignment vertical="top"/>
    </xf>
    <xf numFmtId="0" fontId="25" fillId="0" borderId="97" xfId="0" quotePrefix="1" applyFont="1" applyBorder="1" applyAlignment="1">
      <alignment horizontal="center" vertical="center"/>
    </xf>
    <xf numFmtId="0" fontId="25" fillId="16" borderId="48" xfId="0" quotePrefix="1" applyFont="1" applyFill="1" applyBorder="1" applyAlignment="1">
      <alignment horizontal="center" vertical="center"/>
    </xf>
    <xf numFmtId="0" fontId="25" fillId="16" borderId="38" xfId="0" quotePrefix="1" applyFont="1" applyFill="1" applyBorder="1" applyAlignment="1">
      <alignment horizontal="center" vertical="center"/>
    </xf>
    <xf numFmtId="0" fontId="25" fillId="16" borderId="49" xfId="0" quotePrefix="1" applyFont="1" applyFill="1" applyBorder="1" applyAlignment="1">
      <alignment horizontal="center" vertical="center"/>
    </xf>
    <xf numFmtId="0" fontId="9" fillId="2" borderId="38" xfId="0" quotePrefix="1" applyFont="1" applyFill="1" applyBorder="1" applyAlignment="1">
      <alignment horizontal="center" vertical="center"/>
    </xf>
    <xf numFmtId="0" fontId="9" fillId="2" borderId="36" xfId="0" quotePrefix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6" fillId="0" borderId="17" xfId="0" applyFont="1" applyBorder="1" applyAlignment="1">
      <alignment vertical="center"/>
    </xf>
    <xf numFmtId="3" fontId="15" fillId="16" borderId="110" xfId="0" quotePrefix="1" applyNumberFormat="1" applyFont="1" applyFill="1" applyBorder="1" applyAlignment="1">
      <alignment vertical="center"/>
    </xf>
    <xf numFmtId="0" fontId="8" fillId="0" borderId="88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3" fontId="15" fillId="16" borderId="113" xfId="0" quotePrefix="1" applyNumberFormat="1" applyFont="1" applyFill="1" applyBorder="1" applyAlignment="1">
      <alignment vertical="center"/>
    </xf>
    <xf numFmtId="3" fontId="15" fillId="16" borderId="115" xfId="0" quotePrefix="1" applyNumberFormat="1" applyFont="1" applyFill="1" applyBorder="1" applyAlignment="1">
      <alignment vertical="center"/>
    </xf>
    <xf numFmtId="0" fontId="15" fillId="0" borderId="28" xfId="0" applyFont="1" applyBorder="1" applyAlignment="1">
      <alignment horizontal="left" vertical="center"/>
    </xf>
    <xf numFmtId="0" fontId="27" fillId="0" borderId="56" xfId="0" quotePrefix="1" applyFont="1" applyBorder="1" applyAlignment="1">
      <alignment horizontal="center" vertical="center"/>
    </xf>
    <xf numFmtId="3" fontId="15" fillId="16" borderId="46" xfId="0" quotePrefix="1" applyNumberFormat="1" applyFont="1" applyFill="1" applyBorder="1" applyAlignment="1">
      <alignment vertical="center"/>
    </xf>
    <xf numFmtId="3" fontId="15" fillId="16" borderId="15" xfId="0" quotePrefix="1" applyNumberFormat="1" applyFont="1" applyFill="1" applyBorder="1" applyAlignment="1">
      <alignment vertical="center"/>
    </xf>
    <xf numFmtId="3" fontId="15" fillId="2" borderId="28" xfId="0" quotePrefix="1" applyNumberFormat="1" applyFont="1" applyFill="1" applyBorder="1" applyAlignment="1">
      <alignment vertical="center"/>
    </xf>
    <xf numFmtId="3" fontId="3" fillId="13" borderId="57" xfId="0" applyNumberFormat="1" applyFont="1" applyFill="1" applyBorder="1" applyAlignment="1">
      <alignment vertical="center"/>
    </xf>
    <xf numFmtId="3" fontId="3" fillId="13" borderId="98" xfId="0" applyNumberFormat="1" applyFont="1" applyFill="1" applyBorder="1" applyAlignment="1">
      <alignment vertical="center"/>
    </xf>
    <xf numFmtId="165" fontId="3" fillId="4" borderId="58" xfId="2" applyNumberFormat="1" applyFont="1" applyFill="1" applyBorder="1" applyAlignment="1">
      <alignment vertical="center"/>
    </xf>
    <xf numFmtId="3" fontId="4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15" fillId="6" borderId="61" xfId="0" applyNumberFormat="1" applyFont="1" applyFill="1" applyBorder="1" applyAlignment="1">
      <alignment vertical="center"/>
    </xf>
    <xf numFmtId="3" fontId="15" fillId="6" borderId="66" xfId="0" applyNumberFormat="1" applyFont="1" applyFill="1" applyBorder="1" applyAlignment="1">
      <alignment vertical="center"/>
    </xf>
    <xf numFmtId="165" fontId="39" fillId="6" borderId="62" xfId="2" applyNumberFormat="1" applyFont="1" applyFill="1" applyBorder="1" applyAlignment="1">
      <alignment vertical="center"/>
    </xf>
    <xf numFmtId="3" fontId="4" fillId="12" borderId="61" xfId="0" applyNumberFormat="1" applyFont="1" applyFill="1" applyBorder="1" applyAlignment="1">
      <alignment vertical="center"/>
    </xf>
    <xf numFmtId="3" fontId="4" fillId="12" borderId="66" xfId="0" applyNumberFormat="1" applyFont="1" applyFill="1" applyBorder="1" applyAlignment="1">
      <alignment vertical="center"/>
    </xf>
    <xf numFmtId="165" fontId="2" fillId="6" borderId="62" xfId="2" applyNumberFormat="1" applyFont="1" applyFill="1" applyBorder="1" applyAlignment="1">
      <alignment vertical="center"/>
    </xf>
    <xf numFmtId="0" fontId="47" fillId="0" borderId="0" xfId="0" applyFont="1" applyAlignment="1">
      <alignment vertical="center"/>
    </xf>
    <xf numFmtId="165" fontId="15" fillId="6" borderId="64" xfId="0" applyNumberFormat="1" applyFont="1" applyFill="1" applyBorder="1" applyAlignment="1">
      <alignment vertical="center"/>
    </xf>
    <xf numFmtId="0" fontId="4" fillId="6" borderId="62" xfId="0" applyFont="1" applyFill="1" applyBorder="1" applyAlignment="1">
      <alignment vertical="center" wrapText="1"/>
    </xf>
    <xf numFmtId="0" fontId="16" fillId="4" borderId="63" xfId="0" applyFont="1" applyFill="1" applyBorder="1" applyAlignment="1">
      <alignment vertical="center" wrapText="1"/>
    </xf>
    <xf numFmtId="3" fontId="22" fillId="4" borderId="61" xfId="0" applyNumberFormat="1" applyFont="1" applyFill="1" applyBorder="1" applyAlignment="1">
      <alignment vertical="center"/>
    </xf>
    <xf numFmtId="3" fontId="22" fillId="4" borderId="71" xfId="0" applyNumberFormat="1" applyFont="1" applyFill="1" applyBorder="1" applyAlignment="1">
      <alignment vertical="center"/>
    </xf>
    <xf numFmtId="3" fontId="22" fillId="4" borderId="62" xfId="0" applyNumberFormat="1" applyFont="1" applyFill="1" applyBorder="1" applyAlignment="1">
      <alignment vertical="center"/>
    </xf>
    <xf numFmtId="3" fontId="22" fillId="4" borderId="66" xfId="0" applyNumberFormat="1" applyFont="1" applyFill="1" applyBorder="1" applyAlignment="1">
      <alignment vertical="center"/>
    </xf>
    <xf numFmtId="165" fontId="22" fillId="4" borderId="64" xfId="0" applyNumberFormat="1" applyFont="1" applyFill="1" applyBorder="1" applyAlignment="1">
      <alignment vertical="center"/>
    </xf>
    <xf numFmtId="0" fontId="4" fillId="6" borderId="68" xfId="0" applyFont="1" applyFill="1" applyBorder="1" applyAlignment="1">
      <alignment vertical="center" wrapText="1"/>
    </xf>
    <xf numFmtId="3" fontId="4" fillId="12" borderId="72" xfId="0" applyNumberFormat="1" applyFont="1" applyFill="1" applyBorder="1" applyAlignment="1">
      <alignment vertical="center"/>
    </xf>
    <xf numFmtId="3" fontId="4" fillId="12" borderId="96" xfId="0" applyNumberFormat="1" applyFont="1" applyFill="1" applyBorder="1" applyAlignment="1">
      <alignment vertical="center"/>
    </xf>
    <xf numFmtId="0" fontId="22" fillId="15" borderId="58" xfId="0" applyFont="1" applyFill="1" applyBorder="1" applyAlignment="1">
      <alignment vertical="center" wrapText="1"/>
    </xf>
    <xf numFmtId="0" fontId="7" fillId="15" borderId="59" xfId="0" applyFont="1" applyFill="1" applyBorder="1" applyAlignment="1">
      <alignment horizontal="center" vertical="center" wrapText="1"/>
    </xf>
    <xf numFmtId="0" fontId="2" fillId="15" borderId="57" xfId="0" applyFont="1" applyFill="1" applyBorder="1" applyAlignment="1">
      <alignment vertical="center"/>
    </xf>
    <xf numFmtId="0" fontId="2" fillId="15" borderId="58" xfId="0" applyFont="1" applyFill="1" applyBorder="1" applyAlignment="1">
      <alignment vertical="center"/>
    </xf>
    <xf numFmtId="0" fontId="2" fillId="15" borderId="60" xfId="0" applyFont="1" applyFill="1" applyBorder="1" applyAlignment="1">
      <alignment vertical="center"/>
    </xf>
    <xf numFmtId="165" fontId="2" fillId="15" borderId="58" xfId="0" applyNumberFormat="1" applyFont="1" applyFill="1" applyBorder="1" applyAlignment="1">
      <alignment vertical="center"/>
    </xf>
    <xf numFmtId="0" fontId="16" fillId="4" borderId="63" xfId="0" applyFont="1" applyFill="1" applyBorder="1" applyAlignment="1">
      <alignment vertical="center"/>
    </xf>
    <xf numFmtId="3" fontId="3" fillId="4" borderId="62" xfId="0" applyNumberFormat="1" applyFont="1" applyFill="1" applyBorder="1" applyAlignment="1">
      <alignment vertical="center"/>
    </xf>
    <xf numFmtId="3" fontId="3" fillId="4" borderId="61" xfId="0" applyNumberFormat="1" applyFont="1" applyFill="1" applyBorder="1" applyAlignment="1">
      <alignment vertical="center"/>
    </xf>
    <xf numFmtId="165" fontId="3" fillId="4" borderId="62" xfId="0" applyNumberFormat="1" applyFont="1" applyFill="1" applyBorder="1" applyAlignment="1">
      <alignment vertical="center"/>
    </xf>
    <xf numFmtId="3" fontId="39" fillId="2" borderId="64" xfId="0" applyNumberFormat="1" applyFont="1" applyFill="1" applyBorder="1" applyAlignment="1">
      <alignment vertical="center"/>
    </xf>
    <xf numFmtId="165" fontId="39" fillId="2" borderId="62" xfId="0" applyNumberFormat="1" applyFont="1" applyFill="1" applyBorder="1" applyAlignment="1">
      <alignment vertical="center"/>
    </xf>
    <xf numFmtId="0" fontId="4" fillId="0" borderId="62" xfId="0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vertical="center"/>
    </xf>
    <xf numFmtId="3" fontId="2" fillId="0" borderId="62" xfId="0" applyNumberFormat="1" applyFont="1" applyFill="1" applyBorder="1" applyAlignment="1">
      <alignment vertical="center"/>
    </xf>
    <xf numFmtId="3" fontId="2" fillId="0" borderId="64" xfId="0" applyNumberFormat="1" applyFont="1" applyFill="1" applyBorder="1" applyAlignment="1">
      <alignment vertical="center"/>
    </xf>
    <xf numFmtId="165" fontId="2" fillId="0" borderId="62" xfId="0" applyNumberFormat="1" applyFont="1" applyFill="1" applyBorder="1" applyAlignment="1">
      <alignment horizontal="right" vertical="center"/>
    </xf>
    <xf numFmtId="165" fontId="39" fillId="0" borderId="62" xfId="0" applyNumberFormat="1" applyFont="1" applyFill="1" applyBorder="1" applyAlignment="1">
      <alignment vertical="center"/>
    </xf>
    <xf numFmtId="0" fontId="4" fillId="0" borderId="62" xfId="0" applyFont="1" applyFill="1" applyBorder="1" applyAlignment="1">
      <alignment horizontal="left" vertical="center" wrapText="1"/>
    </xf>
    <xf numFmtId="3" fontId="3" fillId="4" borderId="64" xfId="0" applyNumberFormat="1" applyFont="1" applyFill="1" applyBorder="1" applyAlignment="1">
      <alignment vertical="center"/>
    </xf>
    <xf numFmtId="3" fontId="15" fillId="2" borderId="61" xfId="0" applyNumberFormat="1" applyFont="1" applyFill="1" applyBorder="1" applyAlignment="1">
      <alignment vertical="center"/>
    </xf>
    <xf numFmtId="165" fontId="15" fillId="2" borderId="62" xfId="0" applyNumberFormat="1" applyFont="1" applyFill="1" applyBorder="1" applyAlignment="1">
      <alignment vertical="center"/>
    </xf>
    <xf numFmtId="3" fontId="15" fillId="2" borderId="62" xfId="0" applyNumberFormat="1" applyFont="1" applyFill="1" applyBorder="1" applyAlignment="1">
      <alignment vertical="center"/>
    </xf>
    <xf numFmtId="165" fontId="4" fillId="0" borderId="62" xfId="0" applyNumberFormat="1" applyFont="1" applyFill="1" applyBorder="1" applyAlignment="1">
      <alignment horizontal="right" vertical="center"/>
    </xf>
    <xf numFmtId="3" fontId="15" fillId="0" borderId="61" xfId="0" applyNumberFormat="1" applyFont="1" applyFill="1" applyBorder="1" applyAlignment="1">
      <alignment vertical="center"/>
    </xf>
    <xf numFmtId="165" fontId="15" fillId="0" borderId="62" xfId="0" applyNumberFormat="1" applyFont="1" applyFill="1" applyBorder="1" applyAlignment="1">
      <alignment vertical="center"/>
    </xf>
    <xf numFmtId="3" fontId="15" fillId="0" borderId="62" xfId="0" applyNumberFormat="1" applyFont="1" applyFill="1" applyBorder="1" applyAlignment="1">
      <alignment vertical="center"/>
    </xf>
    <xf numFmtId="0" fontId="4" fillId="0" borderId="68" xfId="2" applyFont="1" applyFill="1" applyBorder="1" applyAlignment="1">
      <alignment vertical="center"/>
    </xf>
    <xf numFmtId="3" fontId="2" fillId="0" borderId="67" xfId="0" applyNumberFormat="1" applyFont="1" applyFill="1" applyBorder="1" applyAlignment="1">
      <alignment vertical="center"/>
    </xf>
    <xf numFmtId="3" fontId="2" fillId="0" borderId="70" xfId="0" applyNumberFormat="1" applyFont="1" applyFill="1" applyBorder="1" applyAlignment="1">
      <alignment horizontal="right" vertical="center"/>
    </xf>
    <xf numFmtId="3" fontId="4" fillId="0" borderId="67" xfId="0" applyNumberFormat="1" applyFont="1" applyFill="1" applyBorder="1" applyAlignment="1">
      <alignment horizontal="right" vertical="center"/>
    </xf>
    <xf numFmtId="165" fontId="4" fillId="0" borderId="68" xfId="0" applyNumberFormat="1" applyFont="1" applyFill="1" applyBorder="1" applyAlignment="1">
      <alignment horizontal="right" vertical="center"/>
    </xf>
    <xf numFmtId="0" fontId="2" fillId="15" borderId="59" xfId="0" applyFont="1" applyFill="1" applyBorder="1" applyAlignment="1">
      <alignment vertical="center"/>
    </xf>
    <xf numFmtId="0" fontId="16" fillId="4" borderId="64" xfId="0" applyFont="1" applyFill="1" applyBorder="1" applyAlignment="1">
      <alignment vertical="center"/>
    </xf>
    <xf numFmtId="43" fontId="22" fillId="4" borderId="62" xfId="1" applyFont="1" applyFill="1" applyBorder="1" applyAlignment="1">
      <alignment vertical="center"/>
    </xf>
    <xf numFmtId="43" fontId="22" fillId="4" borderId="63" xfId="1" applyFont="1" applyFill="1" applyBorder="1" applyAlignment="1">
      <alignment vertical="center"/>
    </xf>
    <xf numFmtId="43" fontId="3" fillId="4" borderId="62" xfId="1" applyFont="1" applyFill="1" applyBorder="1" applyAlignment="1">
      <alignment vertical="center"/>
    </xf>
    <xf numFmtId="43" fontId="15" fillId="2" borderId="62" xfId="1" applyFont="1" applyFill="1" applyBorder="1" applyAlignment="1">
      <alignment vertical="center"/>
    </xf>
    <xf numFmtId="43" fontId="15" fillId="2" borderId="63" xfId="1" applyFont="1" applyFill="1" applyBorder="1" applyAlignment="1">
      <alignment vertical="center"/>
    </xf>
    <xf numFmtId="43" fontId="39" fillId="2" borderId="62" xfId="1" applyFont="1" applyFill="1" applyBorder="1" applyAlignment="1">
      <alignment vertical="center"/>
    </xf>
    <xf numFmtId="43" fontId="4" fillId="0" borderId="62" xfId="1" applyFont="1" applyFill="1" applyBorder="1" applyAlignment="1">
      <alignment vertical="center"/>
    </xf>
    <xf numFmtId="43" fontId="4" fillId="0" borderId="63" xfId="1" applyFont="1" applyFill="1" applyBorder="1" applyAlignment="1">
      <alignment vertical="center"/>
    </xf>
    <xf numFmtId="165" fontId="2" fillId="0" borderId="62" xfId="0" applyNumberFormat="1" applyFont="1" applyFill="1" applyBorder="1" applyAlignment="1">
      <alignment vertical="center"/>
    </xf>
    <xf numFmtId="43" fontId="2" fillId="0" borderId="62" xfId="1" applyFont="1" applyFill="1" applyBorder="1" applyAlignment="1">
      <alignment vertical="center"/>
    </xf>
    <xf numFmtId="43" fontId="15" fillId="0" borderId="63" xfId="1" applyFont="1" applyFill="1" applyBorder="1" applyAlignment="1">
      <alignment vertical="center"/>
    </xf>
    <xf numFmtId="0" fontId="5" fillId="4" borderId="64" xfId="0" applyFont="1" applyFill="1" applyBorder="1" applyAlignment="1">
      <alignment horizontal="left" vertical="center" wrapText="1"/>
    </xf>
    <xf numFmtId="3" fontId="15" fillId="2" borderId="102" xfId="2" applyNumberFormat="1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/>
    </xf>
    <xf numFmtId="0" fontId="15" fillId="2" borderId="64" xfId="2" applyFont="1" applyFill="1" applyBorder="1" applyAlignment="1">
      <alignment vertical="center"/>
    </xf>
    <xf numFmtId="0" fontId="3" fillId="0" borderId="62" xfId="2" applyFont="1" applyFill="1" applyBorder="1" applyAlignment="1">
      <alignment horizontal="left" vertical="center" wrapText="1"/>
    </xf>
    <xf numFmtId="0" fontId="4" fillId="0" borderId="70" xfId="2" applyFont="1" applyFill="1" applyBorder="1" applyAlignment="1">
      <alignment vertical="center"/>
    </xf>
    <xf numFmtId="3" fontId="4" fillId="0" borderId="67" xfId="0" applyNumberFormat="1" applyFont="1" applyFill="1" applyBorder="1" applyAlignment="1">
      <alignment vertical="center"/>
    </xf>
    <xf numFmtId="165" fontId="2" fillId="0" borderId="68" xfId="0" applyNumberFormat="1" applyFont="1" applyFill="1" applyBorder="1" applyAlignment="1">
      <alignment vertical="center"/>
    </xf>
    <xf numFmtId="0" fontId="6" fillId="0" borderId="68" xfId="2" applyFont="1" applyFill="1" applyBorder="1" applyAlignment="1">
      <alignment vertical="center" wrapText="1"/>
    </xf>
    <xf numFmtId="165" fontId="4" fillId="15" borderId="58" xfId="0" applyNumberFormat="1" applyFont="1" applyFill="1" applyBorder="1" applyAlignment="1">
      <alignment vertical="center"/>
    </xf>
    <xf numFmtId="0" fontId="4" fillId="15" borderId="58" xfId="0" applyFont="1" applyFill="1" applyBorder="1" applyAlignment="1">
      <alignment vertical="center"/>
    </xf>
    <xf numFmtId="0" fontId="2" fillId="15" borderId="98" xfId="0" applyFont="1" applyFill="1" applyBorder="1" applyAlignment="1">
      <alignment vertical="center"/>
    </xf>
    <xf numFmtId="43" fontId="22" fillId="4" borderId="64" xfId="1" applyFont="1" applyFill="1" applyBorder="1" applyAlignment="1">
      <alignment vertical="center"/>
    </xf>
    <xf numFmtId="165" fontId="22" fillId="4" borderId="62" xfId="0" applyNumberFormat="1" applyFont="1" applyFill="1" applyBorder="1" applyAlignment="1">
      <alignment vertical="center"/>
    </xf>
    <xf numFmtId="43" fontId="22" fillId="4" borderId="66" xfId="1" applyFont="1" applyFill="1" applyBorder="1" applyAlignment="1">
      <alignment vertical="center"/>
    </xf>
    <xf numFmtId="43" fontId="15" fillId="2" borderId="64" xfId="1" applyFont="1" applyFill="1" applyBorder="1" applyAlignment="1">
      <alignment vertical="center"/>
    </xf>
    <xf numFmtId="0" fontId="4" fillId="0" borderId="62" xfId="2" applyFont="1" applyFill="1" applyBorder="1" applyAlignment="1">
      <alignment horizontal="left" vertical="center"/>
    </xf>
    <xf numFmtId="43" fontId="4" fillId="0" borderId="64" xfId="1" applyFont="1" applyFill="1" applyBorder="1" applyAlignment="1">
      <alignment vertical="center"/>
    </xf>
    <xf numFmtId="165" fontId="4" fillId="0" borderId="62" xfId="0" applyNumberFormat="1" applyFont="1" applyFill="1" applyBorder="1" applyAlignment="1">
      <alignment vertical="center"/>
    </xf>
    <xf numFmtId="43" fontId="15" fillId="0" borderId="64" xfId="1" applyFont="1" applyFill="1" applyBorder="1" applyAlignment="1">
      <alignment vertical="center"/>
    </xf>
    <xf numFmtId="165" fontId="4" fillId="0" borderId="68" xfId="0" applyNumberFormat="1" applyFont="1" applyFill="1" applyBorder="1" applyAlignment="1">
      <alignment vertical="center"/>
    </xf>
    <xf numFmtId="43" fontId="4" fillId="0" borderId="70" xfId="1" applyFont="1" applyFill="1" applyBorder="1" applyAlignment="1">
      <alignment vertical="center"/>
    </xf>
    <xf numFmtId="165" fontId="4" fillId="15" borderId="60" xfId="0" applyNumberFormat="1" applyFont="1" applyFill="1" applyBorder="1" applyAlignment="1">
      <alignment vertical="center"/>
    </xf>
    <xf numFmtId="43" fontId="22" fillId="4" borderId="102" xfId="1" applyFont="1" applyFill="1" applyBorder="1" applyAlignment="1">
      <alignment vertical="center"/>
    </xf>
    <xf numFmtId="3" fontId="15" fillId="2" borderId="64" xfId="2" applyNumberFormat="1" applyFont="1" applyFill="1" applyBorder="1" applyAlignment="1">
      <alignment vertical="center" wrapText="1"/>
    </xf>
    <xf numFmtId="3" fontId="15" fillId="2" borderId="93" xfId="0" applyNumberFormat="1" applyFont="1" applyFill="1" applyBorder="1" applyAlignment="1">
      <alignment vertical="center"/>
    </xf>
    <xf numFmtId="3" fontId="15" fillId="2" borderId="94" xfId="0" applyNumberFormat="1" applyFont="1" applyFill="1" applyBorder="1" applyAlignment="1">
      <alignment vertical="center"/>
    </xf>
    <xf numFmtId="43" fontId="15" fillId="2" borderId="94" xfId="1" applyFont="1" applyFill="1" applyBorder="1" applyAlignment="1">
      <alignment vertical="center"/>
    </xf>
    <xf numFmtId="43" fontId="15" fillId="2" borderId="102" xfId="1" applyFont="1" applyFill="1" applyBorder="1" applyAlignment="1">
      <alignment vertical="center"/>
    </xf>
    <xf numFmtId="0" fontId="4" fillId="0" borderId="64" xfId="2" applyFont="1" applyFill="1" applyBorder="1" applyAlignment="1">
      <alignment horizontal="left" vertical="center"/>
    </xf>
    <xf numFmtId="43" fontId="4" fillId="0" borderId="102" xfId="1" applyFont="1" applyFill="1" applyBorder="1" applyAlignment="1">
      <alignment vertical="center"/>
    </xf>
    <xf numFmtId="43" fontId="15" fillId="0" borderId="102" xfId="1" applyFont="1" applyFill="1" applyBorder="1" applyAlignment="1">
      <alignment vertical="center"/>
    </xf>
    <xf numFmtId="0" fontId="4" fillId="0" borderId="64" xfId="0" applyFont="1" applyFill="1" applyBorder="1" applyAlignment="1">
      <alignment horizontal="left" vertical="center" wrapText="1"/>
    </xf>
    <xf numFmtId="43" fontId="4" fillId="0" borderId="102" xfId="1" applyFont="1" applyFill="1" applyBorder="1" applyAlignment="1">
      <alignment horizontal="right" vertical="center"/>
    </xf>
    <xf numFmtId="43" fontId="4" fillId="0" borderId="103" xfId="1" applyFont="1" applyFill="1" applyBorder="1" applyAlignment="1">
      <alignment horizontal="right" vertical="center"/>
    </xf>
    <xf numFmtId="43" fontId="4" fillId="0" borderId="103" xfId="1" applyFont="1" applyFill="1" applyBorder="1" applyAlignment="1">
      <alignment vertical="center"/>
    </xf>
    <xf numFmtId="0" fontId="22" fillId="15" borderId="60" xfId="0" applyFont="1" applyFill="1" applyBorder="1" applyAlignment="1">
      <alignment vertical="center" wrapText="1"/>
    </xf>
    <xf numFmtId="0" fontId="2" fillId="15" borderId="104" xfId="0" applyFont="1" applyFill="1" applyBorder="1" applyAlignment="1">
      <alignment vertical="center"/>
    </xf>
    <xf numFmtId="165" fontId="2" fillId="15" borderId="60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3" fontId="3" fillId="4" borderId="102" xfId="0" applyNumberFormat="1" applyFont="1" applyFill="1" applyBorder="1" applyAlignment="1">
      <alignment vertical="center"/>
    </xf>
    <xf numFmtId="165" fontId="3" fillId="4" borderId="64" xfId="0" applyNumberFormat="1" applyFont="1" applyFill="1" applyBorder="1" applyAlignment="1">
      <alignment vertical="center"/>
    </xf>
    <xf numFmtId="3" fontId="39" fillId="0" borderId="102" xfId="0" applyNumberFormat="1" applyFont="1" applyFill="1" applyBorder="1" applyAlignment="1">
      <alignment vertical="center"/>
    </xf>
    <xf numFmtId="3" fontId="3" fillId="0" borderId="61" xfId="0" applyNumberFormat="1" applyFont="1" applyFill="1" applyBorder="1" applyAlignment="1">
      <alignment vertical="center"/>
    </xf>
    <xf numFmtId="165" fontId="3" fillId="0" borderId="62" xfId="0" applyNumberFormat="1" applyFont="1" applyFill="1" applyBorder="1" applyAlignment="1">
      <alignment vertical="center"/>
    </xf>
    <xf numFmtId="3" fontId="3" fillId="0" borderId="62" xfId="0" applyNumberFormat="1" applyFont="1" applyFill="1" applyBorder="1" applyAlignment="1">
      <alignment vertical="center"/>
    </xf>
    <xf numFmtId="165" fontId="3" fillId="0" borderId="64" xfId="0" applyNumberFormat="1" applyFont="1" applyFill="1" applyBorder="1" applyAlignment="1">
      <alignment vertical="center"/>
    </xf>
    <xf numFmtId="165" fontId="2" fillId="0" borderId="64" xfId="0" applyNumberFormat="1" applyFont="1" applyFill="1" applyBorder="1" applyAlignment="1">
      <alignment horizontal="right" vertical="center"/>
    </xf>
    <xf numFmtId="0" fontId="5" fillId="4" borderId="78" xfId="0" applyFont="1" applyFill="1" applyBorder="1" applyAlignment="1">
      <alignment horizontal="left" vertical="center" wrapText="1"/>
    </xf>
    <xf numFmtId="3" fontId="3" fillId="4" borderId="86" xfId="0" applyNumberFormat="1" applyFont="1" applyFill="1" applyBorder="1" applyAlignment="1">
      <alignment vertical="center"/>
    </xf>
    <xf numFmtId="3" fontId="3" fillId="4" borderId="80" xfId="0" applyNumberFormat="1" applyFont="1" applyFill="1" applyBorder="1" applyAlignment="1">
      <alignment vertical="center"/>
    </xf>
    <xf numFmtId="3" fontId="2" fillId="0" borderId="67" xfId="0" applyNumberFormat="1" applyFont="1" applyFill="1" applyBorder="1" applyAlignment="1">
      <alignment horizontal="right" vertical="center"/>
    </xf>
    <xf numFmtId="165" fontId="2" fillId="0" borderId="68" xfId="0" applyNumberFormat="1" applyFont="1" applyFill="1" applyBorder="1" applyAlignment="1">
      <alignment horizontal="right" vertical="center"/>
    </xf>
    <xf numFmtId="165" fontId="2" fillId="0" borderId="70" xfId="0" applyNumberFormat="1" applyFont="1" applyFill="1" applyBorder="1" applyAlignment="1">
      <alignment horizontal="right" vertical="center"/>
    </xf>
    <xf numFmtId="3" fontId="22" fillId="4" borderId="64" xfId="0" applyNumberFormat="1" applyFont="1" applyFill="1" applyBorder="1" applyAlignment="1">
      <alignment vertical="center"/>
    </xf>
    <xf numFmtId="3" fontId="22" fillId="0" borderId="61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22" fillId="0" borderId="64" xfId="0" applyNumberFormat="1" applyFont="1" applyFill="1" applyBorder="1" applyAlignment="1">
      <alignment vertical="center"/>
    </xf>
    <xf numFmtId="165" fontId="22" fillId="0" borderId="62" xfId="0" applyNumberFormat="1" applyFont="1" applyFill="1" applyBorder="1" applyAlignment="1">
      <alignment vertical="center"/>
    </xf>
    <xf numFmtId="165" fontId="22" fillId="0" borderId="64" xfId="0" applyNumberFormat="1" applyFont="1" applyFill="1" applyBorder="1" applyAlignment="1">
      <alignment vertical="center"/>
    </xf>
    <xf numFmtId="165" fontId="4" fillId="0" borderId="64" xfId="0" applyNumberFormat="1" applyFont="1" applyFill="1" applyBorder="1" applyAlignment="1">
      <alignment horizontal="right" vertical="center"/>
    </xf>
    <xf numFmtId="3" fontId="15" fillId="0" borderId="64" xfId="0" applyNumberFormat="1" applyFont="1" applyFill="1" applyBorder="1" applyAlignment="1">
      <alignment vertical="center"/>
    </xf>
    <xf numFmtId="165" fontId="15" fillId="0" borderId="64" xfId="0" applyNumberFormat="1" applyFont="1" applyFill="1" applyBorder="1" applyAlignment="1">
      <alignment vertical="center"/>
    </xf>
    <xf numFmtId="3" fontId="4" fillId="0" borderId="102" xfId="0" applyNumberFormat="1" applyFont="1" applyFill="1" applyBorder="1" applyAlignment="1">
      <alignment vertical="center"/>
    </xf>
    <xf numFmtId="165" fontId="4" fillId="0" borderId="64" xfId="0" applyNumberFormat="1" applyFont="1" applyFill="1" applyBorder="1" applyAlignment="1">
      <alignment vertical="center"/>
    </xf>
    <xf numFmtId="3" fontId="22" fillId="4" borderId="102" xfId="0" applyNumberFormat="1" applyFont="1" applyFill="1" applyBorder="1" applyAlignment="1">
      <alignment vertical="center"/>
    </xf>
    <xf numFmtId="3" fontId="22" fillId="0" borderId="102" xfId="0" applyNumberFormat="1" applyFont="1" applyFill="1" applyBorder="1" applyAlignment="1">
      <alignment vertical="center"/>
    </xf>
    <xf numFmtId="3" fontId="15" fillId="0" borderId="102" xfId="0" applyNumberFormat="1" applyFont="1" applyFill="1" applyBorder="1" applyAlignment="1">
      <alignment vertical="center"/>
    </xf>
    <xf numFmtId="3" fontId="4" fillId="0" borderId="68" xfId="0" applyNumberFormat="1" applyFont="1" applyFill="1" applyBorder="1" applyAlignment="1">
      <alignment vertical="center"/>
    </xf>
    <xf numFmtId="3" fontId="4" fillId="0" borderId="103" xfId="0" applyNumberFormat="1" applyFont="1" applyFill="1" applyBorder="1" applyAlignment="1">
      <alignment vertical="center"/>
    </xf>
    <xf numFmtId="165" fontId="4" fillId="0" borderId="70" xfId="0" applyNumberFormat="1" applyFont="1" applyFill="1" applyBorder="1" applyAlignment="1">
      <alignment vertical="center"/>
    </xf>
    <xf numFmtId="165" fontId="39" fillId="2" borderId="64" xfId="0" applyNumberFormat="1" applyFont="1" applyFill="1" applyBorder="1" applyAlignment="1">
      <alignment vertical="center"/>
    </xf>
    <xf numFmtId="165" fontId="2" fillId="0" borderId="64" xfId="0" applyNumberFormat="1" applyFont="1" applyFill="1" applyBorder="1" applyAlignment="1">
      <alignment vertical="center"/>
    </xf>
    <xf numFmtId="165" fontId="39" fillId="0" borderId="64" xfId="0" applyNumberFormat="1" applyFont="1" applyFill="1" applyBorder="1" applyAlignment="1">
      <alignment vertical="center"/>
    </xf>
    <xf numFmtId="3" fontId="3" fillId="4" borderId="71" xfId="0" applyNumberFormat="1" applyFont="1" applyFill="1" applyBorder="1" applyAlignment="1">
      <alignment vertical="center"/>
    </xf>
    <xf numFmtId="0" fontId="30" fillId="2" borderId="17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horizontal="left" vertical="center"/>
    </xf>
    <xf numFmtId="0" fontId="2" fillId="2" borderId="34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165" fontId="4" fillId="2" borderId="20" xfId="0" applyNumberFormat="1" applyFont="1" applyFill="1" applyBorder="1" applyAlignment="1">
      <alignment vertical="center"/>
    </xf>
    <xf numFmtId="165" fontId="4" fillId="2" borderId="34" xfId="0" applyNumberFormat="1" applyFont="1" applyFill="1" applyBorder="1" applyAlignment="1">
      <alignment vertical="center"/>
    </xf>
    <xf numFmtId="0" fontId="5" fillId="2" borderId="81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27" fillId="0" borderId="55" xfId="0" quotePrefix="1" applyFont="1" applyBorder="1" applyAlignment="1">
      <alignment horizontal="center" vertical="center"/>
    </xf>
    <xf numFmtId="3" fontId="15" fillId="2" borderId="126" xfId="0" quotePrefix="1" applyNumberFormat="1" applyFont="1" applyFill="1" applyBorder="1" applyAlignment="1">
      <alignment vertical="center"/>
    </xf>
    <xf numFmtId="3" fontId="15" fillId="2" borderId="106" xfId="0" quotePrefix="1" applyNumberFormat="1" applyFont="1" applyFill="1" applyBorder="1" applyAlignment="1">
      <alignment vertical="center"/>
    </xf>
    <xf numFmtId="3" fontId="15" fillId="2" borderId="23" xfId="0" quotePrefix="1" applyNumberFormat="1" applyFont="1" applyFill="1" applyBorder="1" applyAlignment="1">
      <alignment vertical="center"/>
    </xf>
    <xf numFmtId="0" fontId="3" fillId="4" borderId="58" xfId="2" applyFont="1" applyFill="1" applyBorder="1" applyAlignment="1">
      <alignment horizontal="left" vertical="center"/>
    </xf>
    <xf numFmtId="0" fontId="6" fillId="4" borderId="59" xfId="2" applyFont="1" applyFill="1" applyBorder="1" applyAlignment="1">
      <alignment horizontal="left" vertical="center"/>
    </xf>
    <xf numFmtId="165" fontId="22" fillId="13" borderId="58" xfId="0" applyNumberFormat="1" applyFont="1" applyFill="1" applyBorder="1" applyAlignment="1">
      <alignment vertical="center"/>
    </xf>
    <xf numFmtId="3" fontId="22" fillId="13" borderId="60" xfId="0" applyNumberFormat="1" applyFont="1" applyFill="1" applyBorder="1" applyAlignment="1">
      <alignment vertical="center"/>
    </xf>
    <xf numFmtId="165" fontId="22" fillId="13" borderId="60" xfId="0" applyNumberFormat="1" applyFont="1" applyFill="1" applyBorder="1" applyAlignment="1">
      <alignment vertical="center"/>
    </xf>
    <xf numFmtId="0" fontId="39" fillId="6" borderId="77" xfId="2" applyFont="1" applyFill="1" applyBorder="1" applyAlignment="1">
      <alignment vertical="center"/>
    </xf>
    <xf numFmtId="3" fontId="39" fillId="6" borderId="86" xfId="0" applyNumberFormat="1" applyFont="1" applyFill="1" applyBorder="1" applyAlignment="1">
      <alignment vertical="center"/>
    </xf>
    <xf numFmtId="3" fontId="39" fillId="6" borderId="80" xfId="0" applyNumberFormat="1" applyFont="1" applyFill="1" applyBorder="1" applyAlignment="1">
      <alignment vertical="center"/>
    </xf>
    <xf numFmtId="3" fontId="39" fillId="6" borderId="77" xfId="0" applyNumberFormat="1" applyFont="1" applyFill="1" applyBorder="1" applyAlignment="1">
      <alignment vertical="center"/>
    </xf>
    <xf numFmtId="3" fontId="39" fillId="6" borderId="79" xfId="0" applyNumberFormat="1" applyFont="1" applyFill="1" applyBorder="1" applyAlignment="1">
      <alignment vertical="center"/>
    </xf>
    <xf numFmtId="165" fontId="15" fillId="6" borderId="77" xfId="0" applyNumberFormat="1" applyFont="1" applyFill="1" applyBorder="1" applyAlignment="1">
      <alignment vertical="center"/>
    </xf>
    <xf numFmtId="3" fontId="15" fillId="6" borderId="80" xfId="0" applyNumberFormat="1" applyFont="1" applyFill="1" applyBorder="1" applyAlignment="1">
      <alignment vertical="center"/>
    </xf>
    <xf numFmtId="165" fontId="15" fillId="6" borderId="8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14" borderId="0" xfId="0" applyFont="1" applyFill="1" applyAlignment="1">
      <alignment vertical="center"/>
    </xf>
    <xf numFmtId="3" fontId="2" fillId="12" borderId="71" xfId="0" applyNumberFormat="1" applyFont="1" applyFill="1" applyBorder="1" applyAlignment="1">
      <alignment vertical="center"/>
    </xf>
    <xf numFmtId="3" fontId="2" fillId="12" borderId="64" xfId="0" applyNumberFormat="1" applyFont="1" applyFill="1" applyBorder="1" applyAlignment="1">
      <alignment vertical="center"/>
    </xf>
    <xf numFmtId="3" fontId="2" fillId="12" borderId="62" xfId="0" applyNumberFormat="1" applyFont="1" applyFill="1" applyBorder="1" applyAlignment="1">
      <alignment vertical="center"/>
    </xf>
    <xf numFmtId="0" fontId="22" fillId="15" borderId="77" xfId="0" applyFont="1" applyFill="1" applyBorder="1" applyAlignment="1">
      <alignment vertical="center" wrapText="1"/>
    </xf>
    <xf numFmtId="0" fontId="2" fillId="15" borderId="79" xfId="0" applyFont="1" applyFill="1" applyBorder="1" applyAlignment="1">
      <alignment vertical="center"/>
    </xf>
    <xf numFmtId="0" fontId="2" fillId="15" borderId="80" xfId="0" applyFont="1" applyFill="1" applyBorder="1" applyAlignment="1">
      <alignment vertical="center"/>
    </xf>
    <xf numFmtId="0" fontId="2" fillId="15" borderId="77" xfId="0" applyFont="1" applyFill="1" applyBorder="1" applyAlignment="1">
      <alignment vertical="center"/>
    </xf>
    <xf numFmtId="165" fontId="4" fillId="15" borderId="77" xfId="0" applyNumberFormat="1" applyFont="1" applyFill="1" applyBorder="1" applyAlignment="1">
      <alignment vertical="center"/>
    </xf>
    <xf numFmtId="0" fontId="4" fillId="15" borderId="77" xfId="0" applyFont="1" applyFill="1" applyBorder="1" applyAlignment="1">
      <alignment vertical="center"/>
    </xf>
    <xf numFmtId="165" fontId="4" fillId="15" borderId="8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2" fillId="4" borderId="64" xfId="1" applyFont="1" applyFill="1" applyBorder="1" applyAlignment="1">
      <alignment vertical="center"/>
    </xf>
    <xf numFmtId="43" fontId="3" fillId="4" borderId="64" xfId="1" applyFont="1" applyFill="1" applyBorder="1" applyAlignment="1">
      <alignment vertical="center"/>
    </xf>
    <xf numFmtId="43" fontId="39" fillId="0" borderId="64" xfId="1" applyFont="1" applyFill="1" applyBorder="1" applyAlignment="1">
      <alignment vertical="center"/>
    </xf>
    <xf numFmtId="0" fontId="4" fillId="0" borderId="68" xfId="0" applyFont="1" applyFill="1" applyBorder="1" applyAlignment="1">
      <alignment vertical="center"/>
    </xf>
    <xf numFmtId="3" fontId="2" fillId="0" borderId="68" xfId="0" applyNumberFormat="1" applyFont="1" applyFill="1" applyBorder="1" applyAlignment="1">
      <alignment vertical="center"/>
    </xf>
    <xf numFmtId="43" fontId="2" fillId="0" borderId="68" xfId="1" applyFont="1" applyFill="1" applyBorder="1" applyAlignment="1">
      <alignment vertical="center"/>
    </xf>
    <xf numFmtId="43" fontId="2" fillId="0" borderId="70" xfId="1" applyFont="1" applyFill="1" applyBorder="1" applyAlignment="1">
      <alignment vertical="center"/>
    </xf>
    <xf numFmtId="43" fontId="4" fillId="0" borderId="68" xfId="1" applyFont="1" applyFill="1" applyBorder="1" applyAlignment="1">
      <alignment vertical="center"/>
    </xf>
    <xf numFmtId="43" fontId="2" fillId="15" borderId="58" xfId="1" applyFont="1" applyFill="1" applyBorder="1" applyAlignment="1">
      <alignment vertical="center"/>
    </xf>
    <xf numFmtId="43" fontId="4" fillId="15" borderId="60" xfId="1" applyFont="1" applyFill="1" applyBorder="1" applyAlignment="1">
      <alignment vertical="center"/>
    </xf>
    <xf numFmtId="3" fontId="4" fillId="0" borderId="70" xfId="0" applyNumberFormat="1" applyFont="1" applyFill="1" applyBorder="1" applyAlignment="1">
      <alignment vertical="center"/>
    </xf>
    <xf numFmtId="43" fontId="2" fillId="15" borderId="60" xfId="1" applyFont="1" applyFill="1" applyBorder="1" applyAlignment="1">
      <alignment vertical="center"/>
    </xf>
    <xf numFmtId="3" fontId="2" fillId="0" borderId="70" xfId="0" applyNumberFormat="1" applyFont="1" applyFill="1" applyBorder="1" applyAlignment="1">
      <alignment vertical="center"/>
    </xf>
    <xf numFmtId="43" fontId="2" fillId="15" borderId="80" xfId="1" applyFont="1" applyFill="1" applyBorder="1" applyAlignment="1">
      <alignment vertical="center"/>
    </xf>
    <xf numFmtId="43" fontId="2" fillId="15" borderId="86" xfId="1" applyFont="1" applyFill="1" applyBorder="1" applyAlignment="1">
      <alignment vertical="center"/>
    </xf>
    <xf numFmtId="43" fontId="4" fillId="15" borderId="80" xfId="1" applyFont="1" applyFill="1" applyBorder="1" applyAlignment="1">
      <alignment vertical="center"/>
    </xf>
    <xf numFmtId="165" fontId="2" fillId="0" borderId="7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94" xfId="0" applyFont="1" applyFill="1" applyBorder="1" applyAlignment="1">
      <alignment vertical="center"/>
    </xf>
    <xf numFmtId="3" fontId="2" fillId="2" borderId="93" xfId="0" applyNumberFormat="1" applyFont="1" applyFill="1" applyBorder="1" applyAlignment="1">
      <alignment vertical="center"/>
    </xf>
    <xf numFmtId="3" fontId="4" fillId="2" borderId="94" xfId="0" applyNumberFormat="1" applyFont="1" applyFill="1" applyBorder="1" applyAlignment="1">
      <alignment vertical="center"/>
    </xf>
    <xf numFmtId="43" fontId="4" fillId="2" borderId="94" xfId="1" applyFont="1" applyFill="1" applyBorder="1" applyAlignment="1">
      <alignment vertical="center"/>
    </xf>
    <xf numFmtId="43" fontId="4" fillId="2" borderId="91" xfId="1" applyFont="1" applyFill="1" applyBorder="1" applyAlignment="1">
      <alignment vertical="center"/>
    </xf>
    <xf numFmtId="165" fontId="4" fillId="0" borderId="94" xfId="0" applyNumberFormat="1" applyFont="1" applyFill="1" applyBorder="1" applyAlignment="1">
      <alignment vertical="center"/>
    </xf>
    <xf numFmtId="43" fontId="4" fillId="0" borderId="91" xfId="1" applyFont="1" applyFill="1" applyBorder="1" applyAlignment="1">
      <alignment vertical="center"/>
    </xf>
    <xf numFmtId="3" fontId="3" fillId="4" borderId="66" xfId="0" applyNumberFormat="1" applyFont="1" applyFill="1" applyBorder="1" applyAlignment="1">
      <alignment vertical="center"/>
    </xf>
    <xf numFmtId="0" fontId="4" fillId="2" borderId="68" xfId="0" applyFont="1" applyFill="1" applyBorder="1" applyAlignment="1">
      <alignment vertical="center"/>
    </xf>
    <xf numFmtId="3" fontId="2" fillId="2" borderId="67" xfId="0" applyNumberFormat="1" applyFont="1" applyFill="1" applyBorder="1" applyAlignment="1">
      <alignment vertical="center"/>
    </xf>
    <xf numFmtId="3" fontId="2" fillId="2" borderId="68" xfId="0" applyNumberFormat="1" applyFont="1" applyFill="1" applyBorder="1" applyAlignment="1">
      <alignment vertical="center"/>
    </xf>
    <xf numFmtId="3" fontId="2" fillId="2" borderId="7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0" borderId="88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0" fillId="2" borderId="0" xfId="0" applyFont="1" applyFill="1" applyAlignment="1">
      <alignment vertical="top"/>
    </xf>
    <xf numFmtId="0" fontId="50" fillId="2" borderId="0" xfId="0" applyFont="1" applyFill="1" applyBorder="1" applyAlignment="1"/>
    <xf numFmtId="0" fontId="16" fillId="2" borderId="0" xfId="0" applyFont="1" applyFill="1" applyBorder="1" applyAlignment="1">
      <alignment vertical="top"/>
    </xf>
    <xf numFmtId="0" fontId="50" fillId="2" borderId="0" xfId="0" applyFont="1" applyFill="1" applyBorder="1" applyAlignment="1">
      <alignment vertical="top"/>
    </xf>
    <xf numFmtId="3" fontId="50" fillId="2" borderId="0" xfId="0" applyNumberFormat="1" applyFont="1" applyFill="1" applyBorder="1" applyAlignment="1">
      <alignment horizontal="left" vertical="top"/>
    </xf>
    <xf numFmtId="0" fontId="50" fillId="16" borderId="0" xfId="0" applyFont="1" applyFill="1" applyAlignment="1">
      <alignment vertical="top"/>
    </xf>
    <xf numFmtId="0" fontId="50" fillId="0" borderId="0" xfId="0" applyFont="1" applyFill="1" applyAlignment="1">
      <alignment vertical="top"/>
    </xf>
    <xf numFmtId="0" fontId="50" fillId="11" borderId="0" xfId="0" applyFont="1" applyFill="1" applyAlignment="1">
      <alignment vertical="top"/>
    </xf>
    <xf numFmtId="0" fontId="51" fillId="2" borderId="0" xfId="0" applyFont="1" applyFill="1" applyBorder="1" applyAlignment="1"/>
    <xf numFmtId="0" fontId="30" fillId="2" borderId="44" xfId="0" applyFont="1" applyFill="1" applyBorder="1" applyAlignment="1">
      <alignment vertical="center"/>
    </xf>
    <xf numFmtId="0" fontId="50" fillId="2" borderId="35" xfId="0" applyFont="1" applyFill="1" applyBorder="1" applyAlignment="1">
      <alignment vertical="center"/>
    </xf>
    <xf numFmtId="0" fontId="16" fillId="2" borderId="35" xfId="0" applyFont="1" applyFill="1" applyBorder="1" applyAlignment="1">
      <alignment vertical="center"/>
    </xf>
    <xf numFmtId="3" fontId="50" fillId="2" borderId="35" xfId="0" applyNumberFormat="1" applyFont="1" applyFill="1" applyBorder="1" applyAlignment="1">
      <alignment horizontal="left" vertical="center"/>
    </xf>
    <xf numFmtId="0" fontId="27" fillId="2" borderId="97" xfId="0" applyFont="1" applyFill="1" applyBorder="1" applyAlignment="1">
      <alignment horizontal="right" vertical="center"/>
    </xf>
    <xf numFmtId="0" fontId="50" fillId="0" borderId="0" xfId="0" applyFont="1" applyFill="1" applyAlignment="1">
      <alignment vertical="center"/>
    </xf>
    <xf numFmtId="0" fontId="50" fillId="11" borderId="0" xfId="0" applyFont="1" applyFill="1" applyAlignment="1">
      <alignment vertical="center"/>
    </xf>
    <xf numFmtId="0" fontId="22" fillId="16" borderId="22" xfId="2" applyFont="1" applyFill="1" applyBorder="1" applyAlignment="1">
      <alignment vertical="center" wrapText="1"/>
    </xf>
    <xf numFmtId="0" fontId="16" fillId="0" borderId="35" xfId="0" quotePrefix="1" applyFont="1" applyBorder="1" applyAlignment="1">
      <alignment horizontal="center" vertical="top"/>
    </xf>
    <xf numFmtId="0" fontId="25" fillId="0" borderId="0" xfId="0" applyFont="1" applyFill="1" applyAlignment="1">
      <alignment vertical="top"/>
    </xf>
    <xf numFmtId="0" fontId="25" fillId="0" borderId="0" xfId="0" applyFont="1" applyAlignment="1">
      <alignment vertical="top"/>
    </xf>
    <xf numFmtId="0" fontId="4" fillId="0" borderId="48" xfId="0" applyFont="1" applyBorder="1" applyAlignment="1">
      <alignment vertical="top"/>
    </xf>
    <xf numFmtId="0" fontId="15" fillId="0" borderId="38" xfId="0" applyFont="1" applyBorder="1" applyAlignment="1">
      <alignment horizontal="left" vertical="center"/>
    </xf>
    <xf numFmtId="0" fontId="32" fillId="0" borderId="36" xfId="0" quotePrefix="1" applyFont="1" applyBorder="1" applyAlignment="1">
      <alignment horizontal="center" vertical="center"/>
    </xf>
    <xf numFmtId="3" fontId="15" fillId="2" borderId="48" xfId="0" quotePrefix="1" applyNumberFormat="1" applyFont="1" applyFill="1" applyBorder="1" applyAlignment="1">
      <alignment vertical="center"/>
    </xf>
    <xf numFmtId="3" fontId="15" fillId="2" borderId="38" xfId="0" quotePrefix="1" applyNumberFormat="1" applyFont="1" applyFill="1" applyBorder="1" applyAlignment="1">
      <alignment vertical="center"/>
    </xf>
    <xf numFmtId="3" fontId="15" fillId="2" borderId="49" xfId="0" quotePrefix="1" applyNumberFormat="1" applyFont="1" applyFill="1" applyBorder="1" applyAlignment="1">
      <alignment vertical="center"/>
    </xf>
    <xf numFmtId="3" fontId="15" fillId="2" borderId="44" xfId="0" quotePrefix="1" applyNumberFormat="1" applyFont="1" applyFill="1" applyBorder="1" applyAlignment="1">
      <alignment vertical="center"/>
    </xf>
    <xf numFmtId="165" fontId="15" fillId="0" borderId="38" xfId="2" applyNumberFormat="1" applyFont="1" applyFill="1" applyBorder="1" applyAlignment="1">
      <alignment horizontal="right" vertical="center"/>
    </xf>
    <xf numFmtId="0" fontId="8" fillId="0" borderId="97" xfId="0" applyFont="1" applyBorder="1"/>
    <xf numFmtId="0" fontId="27" fillId="0" borderId="27" xfId="0" quotePrefix="1" applyFont="1" applyBorder="1" applyAlignment="1">
      <alignment horizontal="center" vertical="top"/>
    </xf>
    <xf numFmtId="43" fontId="15" fillId="2" borderId="26" xfId="1" quotePrefix="1" applyFont="1" applyFill="1" applyBorder="1" applyAlignment="1">
      <alignment vertical="top"/>
    </xf>
    <xf numFmtId="43" fontId="15" fillId="2" borderId="25" xfId="1" quotePrefix="1" applyFont="1" applyFill="1" applyBorder="1" applyAlignment="1">
      <alignment vertical="top"/>
    </xf>
    <xf numFmtId="43" fontId="15" fillId="2" borderId="28" xfId="1" quotePrefix="1" applyFont="1" applyFill="1" applyBorder="1" applyAlignment="1">
      <alignment vertical="top"/>
    </xf>
    <xf numFmtId="43" fontId="15" fillId="2" borderId="56" xfId="1" quotePrefix="1" applyFont="1" applyFill="1" applyBorder="1" applyAlignment="1">
      <alignment vertical="top"/>
    </xf>
    <xf numFmtId="43" fontId="15" fillId="2" borderId="30" xfId="1" quotePrefix="1" applyFont="1" applyFill="1" applyBorder="1" applyAlignment="1">
      <alignment vertical="top"/>
    </xf>
    <xf numFmtId="43" fontId="15" fillId="0" borderId="28" xfId="1" applyFont="1" applyFill="1" applyBorder="1" applyAlignment="1">
      <alignment horizontal="right" vertical="center"/>
    </xf>
    <xf numFmtId="43" fontId="15" fillId="2" borderId="1" xfId="1" quotePrefix="1" applyFont="1" applyFill="1" applyBorder="1" applyAlignment="1">
      <alignment vertical="top"/>
    </xf>
    <xf numFmtId="0" fontId="4" fillId="0" borderId="11" xfId="0" applyFont="1" applyBorder="1" applyAlignment="1">
      <alignment vertical="top"/>
    </xf>
    <xf numFmtId="0" fontId="27" fillId="0" borderId="15" xfId="0" quotePrefix="1" applyFont="1" applyBorder="1" applyAlignment="1">
      <alignment horizontal="center" vertical="top"/>
    </xf>
    <xf numFmtId="3" fontId="15" fillId="2" borderId="13" xfId="0" quotePrefix="1" applyNumberFormat="1" applyFont="1" applyFill="1" applyBorder="1" applyAlignment="1">
      <alignment vertical="top"/>
    </xf>
    <xf numFmtId="0" fontId="7" fillId="4" borderId="60" xfId="2" applyFont="1" applyFill="1" applyBorder="1" applyAlignment="1">
      <alignment horizontal="left" vertical="center"/>
    </xf>
    <xf numFmtId="3" fontId="22" fillId="4" borderId="98" xfId="0" applyNumberFormat="1" applyFont="1" applyFill="1" applyBorder="1" applyAlignment="1">
      <alignment vertical="top"/>
    </xf>
    <xf numFmtId="3" fontId="22" fillId="4" borderId="59" xfId="0" applyNumberFormat="1" applyFont="1" applyFill="1" applyBorder="1" applyAlignment="1">
      <alignment vertical="top"/>
    </xf>
    <xf numFmtId="3" fontId="22" fillId="4" borderId="101" xfId="0" applyNumberFormat="1" applyFont="1" applyFill="1" applyBorder="1" applyAlignment="1">
      <alignment vertical="top"/>
    </xf>
    <xf numFmtId="0" fontId="16" fillId="11" borderId="0" xfId="0" applyFont="1" applyFill="1" applyAlignment="1">
      <alignment vertical="top"/>
    </xf>
    <xf numFmtId="3" fontId="15" fillId="6" borderId="61" xfId="0" applyNumberFormat="1" applyFont="1" applyFill="1" applyBorder="1" applyAlignment="1">
      <alignment vertical="top"/>
    </xf>
    <xf numFmtId="3" fontId="15" fillId="6" borderId="66" xfId="0" applyNumberFormat="1" applyFont="1" applyFill="1" applyBorder="1" applyAlignment="1">
      <alignment vertical="top"/>
    </xf>
    <xf numFmtId="3" fontId="15" fillId="6" borderId="63" xfId="0" applyNumberFormat="1" applyFont="1" applyFill="1" applyBorder="1" applyAlignment="1">
      <alignment vertical="top"/>
    </xf>
    <xf numFmtId="3" fontId="15" fillId="6" borderId="71" xfId="0" applyNumberFormat="1" applyFont="1" applyFill="1" applyBorder="1" applyAlignment="1">
      <alignment vertical="top"/>
    </xf>
    <xf numFmtId="164" fontId="15" fillId="6" borderId="62" xfId="0" applyNumberFormat="1" applyFont="1" applyFill="1" applyBorder="1" applyAlignment="1">
      <alignment vertical="top"/>
    </xf>
    <xf numFmtId="3" fontId="15" fillId="6" borderId="62" xfId="0" applyNumberFormat="1" applyFont="1" applyFill="1" applyBorder="1" applyAlignment="1">
      <alignment vertical="top"/>
    </xf>
    <xf numFmtId="3" fontId="4" fillId="6" borderId="63" xfId="0" applyNumberFormat="1" applyFont="1" applyFill="1" applyBorder="1" applyAlignment="1">
      <alignment vertical="top"/>
    </xf>
    <xf numFmtId="3" fontId="4" fillId="6" borderId="71" xfId="0" applyNumberFormat="1" applyFont="1" applyFill="1" applyBorder="1" applyAlignment="1">
      <alignment vertical="top"/>
    </xf>
    <xf numFmtId="164" fontId="23" fillId="6" borderId="62" xfId="0" applyNumberFormat="1" applyFont="1" applyFill="1" applyBorder="1" applyAlignment="1">
      <alignment vertical="top"/>
    </xf>
    <xf numFmtId="3" fontId="4" fillId="6" borderId="66" xfId="0" applyNumberFormat="1" applyFont="1" applyFill="1" applyBorder="1" applyAlignment="1">
      <alignment vertical="top"/>
    </xf>
    <xf numFmtId="164" fontId="4" fillId="6" borderId="62" xfId="0" applyNumberFormat="1" applyFont="1" applyFill="1" applyBorder="1" applyAlignment="1">
      <alignment vertical="top"/>
    </xf>
    <xf numFmtId="0" fontId="7" fillId="4" borderId="64" xfId="2" applyFont="1" applyFill="1" applyBorder="1" applyAlignment="1">
      <alignment horizontal="left" vertical="center"/>
    </xf>
    <xf numFmtId="3" fontId="22" fillId="4" borderId="63" xfId="0" applyNumberFormat="1" applyFont="1" applyFill="1" applyBorder="1" applyAlignment="1">
      <alignment vertical="top"/>
    </xf>
    <xf numFmtId="0" fontId="4" fillId="6" borderId="68" xfId="2" applyFont="1" applyFill="1" applyBorder="1" applyAlignment="1">
      <alignment vertical="center"/>
    </xf>
    <xf numFmtId="3" fontId="4" fillId="6" borderId="67" xfId="0" applyNumberFormat="1" applyFont="1" applyFill="1" applyBorder="1" applyAlignment="1">
      <alignment vertical="top"/>
    </xf>
    <xf numFmtId="3" fontId="4" fillId="6" borderId="96" xfId="0" applyNumberFormat="1" applyFont="1" applyFill="1" applyBorder="1" applyAlignment="1">
      <alignment vertical="top"/>
    </xf>
    <xf numFmtId="3" fontId="4" fillId="6" borderId="69" xfId="0" applyNumberFormat="1" applyFont="1" applyFill="1" applyBorder="1" applyAlignment="1">
      <alignment vertical="top"/>
    </xf>
    <xf numFmtId="3" fontId="4" fillId="6" borderId="72" xfId="0" applyNumberFormat="1" applyFont="1" applyFill="1" applyBorder="1" applyAlignment="1">
      <alignment vertical="top"/>
    </xf>
    <xf numFmtId="164" fontId="4" fillId="6" borderId="68" xfId="0" applyNumberFormat="1" applyFont="1" applyFill="1" applyBorder="1" applyAlignment="1">
      <alignment vertical="top"/>
    </xf>
    <xf numFmtId="3" fontId="4" fillId="6" borderId="68" xfId="0" applyNumberFormat="1" applyFont="1" applyFill="1" applyBorder="1" applyAlignment="1">
      <alignment vertical="top"/>
    </xf>
    <xf numFmtId="0" fontId="22" fillId="15" borderId="58" xfId="0" applyFont="1" applyFill="1" applyBorder="1" applyAlignment="1">
      <alignment horizontal="left" vertical="center" wrapText="1"/>
    </xf>
    <xf numFmtId="3" fontId="4" fillId="15" borderId="57" xfId="0" applyNumberFormat="1" applyFont="1" applyFill="1" applyBorder="1" applyAlignment="1">
      <alignment vertical="top"/>
    </xf>
    <xf numFmtId="3" fontId="4" fillId="15" borderId="98" xfId="0" applyNumberFormat="1" applyFont="1" applyFill="1" applyBorder="1" applyAlignment="1">
      <alignment vertical="top"/>
    </xf>
    <xf numFmtId="3" fontId="4" fillId="15" borderId="58" xfId="0" applyNumberFormat="1" applyFont="1" applyFill="1" applyBorder="1" applyAlignment="1">
      <alignment vertical="top"/>
    </xf>
    <xf numFmtId="3" fontId="4" fillId="15" borderId="125" xfId="0" applyNumberFormat="1" applyFont="1" applyFill="1" applyBorder="1" applyAlignment="1">
      <alignment vertical="top"/>
    </xf>
    <xf numFmtId="164" fontId="4" fillId="15" borderId="58" xfId="0" applyNumberFormat="1" applyFont="1" applyFill="1" applyBorder="1" applyAlignment="1">
      <alignment vertical="top"/>
    </xf>
    <xf numFmtId="43" fontId="15" fillId="0" borderId="62" xfId="1" applyFont="1" applyFill="1" applyBorder="1" applyAlignment="1">
      <alignment vertical="top"/>
    </xf>
    <xf numFmtId="43" fontId="4" fillId="0" borderId="62" xfId="1" applyFont="1" applyFill="1" applyBorder="1" applyAlignment="1">
      <alignment vertical="top"/>
    </xf>
    <xf numFmtId="43" fontId="15" fillId="0" borderId="79" xfId="1" applyFont="1" applyFill="1" applyBorder="1" applyAlignment="1">
      <alignment vertical="top"/>
    </xf>
    <xf numFmtId="43" fontId="15" fillId="0" borderId="77" xfId="1" applyFont="1" applyFill="1" applyBorder="1" applyAlignment="1">
      <alignment vertical="top"/>
    </xf>
    <xf numFmtId="43" fontId="15" fillId="0" borderId="78" xfId="1" applyFont="1" applyFill="1" applyBorder="1" applyAlignment="1">
      <alignment vertical="top"/>
    </xf>
    <xf numFmtId="43" fontId="15" fillId="0" borderId="61" xfId="1" applyFont="1" applyFill="1" applyBorder="1" applyAlignment="1">
      <alignment vertical="top"/>
    </xf>
    <xf numFmtId="43" fontId="4" fillId="0" borderId="67" xfId="1" applyFont="1" applyFill="1" applyBorder="1" applyAlignment="1">
      <alignment vertical="top"/>
    </xf>
    <xf numFmtId="0" fontId="22" fillId="4" borderId="28" xfId="2" applyFont="1" applyFill="1" applyBorder="1" applyAlignment="1">
      <alignment horizontal="left" vertical="center"/>
    </xf>
    <xf numFmtId="0" fontId="28" fillId="4" borderId="27" xfId="0" applyFont="1" applyFill="1" applyBorder="1" applyAlignment="1">
      <alignment horizontal="center" vertical="center"/>
    </xf>
    <xf numFmtId="43" fontId="22" fillId="4" borderId="26" xfId="1" applyFont="1" applyFill="1" applyBorder="1" applyAlignment="1">
      <alignment vertical="top"/>
    </xf>
    <xf numFmtId="43" fontId="22" fillId="4" borderId="28" xfId="1" applyFont="1" applyFill="1" applyBorder="1" applyAlignment="1">
      <alignment vertical="top"/>
    </xf>
    <xf numFmtId="43" fontId="22" fillId="4" borderId="56" xfId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15" fillId="0" borderId="4" xfId="2" applyFont="1" applyFill="1" applyBorder="1" applyAlignment="1">
      <alignment vertical="center"/>
    </xf>
    <xf numFmtId="43" fontId="15" fillId="0" borderId="21" xfId="1" applyFont="1" applyFill="1" applyBorder="1" applyAlignment="1">
      <alignment vertical="top"/>
    </xf>
    <xf numFmtId="43" fontId="15" fillId="0" borderId="4" xfId="1" applyFont="1" applyFill="1" applyBorder="1" applyAlignment="1">
      <alignment vertical="top"/>
    </xf>
    <xf numFmtId="43" fontId="15" fillId="0" borderId="55" xfId="1" applyFont="1" applyFill="1" applyBorder="1" applyAlignment="1">
      <alignment vertical="top"/>
    </xf>
    <xf numFmtId="0" fontId="4" fillId="0" borderId="33" xfId="2" applyFont="1" applyFill="1" applyBorder="1" applyAlignment="1">
      <alignment vertical="center"/>
    </xf>
    <xf numFmtId="43" fontId="4" fillId="0" borderId="32" xfId="1" applyFont="1" applyFill="1" applyBorder="1" applyAlignment="1">
      <alignment vertical="top"/>
    </xf>
    <xf numFmtId="43" fontId="4" fillId="0" borderId="33" xfId="1" applyFont="1" applyFill="1" applyBorder="1" applyAlignment="1">
      <alignment vertical="top"/>
    </xf>
    <xf numFmtId="43" fontId="4" fillId="0" borderId="105" xfId="1" applyFont="1" applyFill="1" applyBorder="1" applyAlignment="1">
      <alignment vertical="top"/>
    </xf>
    <xf numFmtId="0" fontId="7" fillId="15" borderId="104" xfId="0" applyFont="1" applyFill="1" applyBorder="1" applyAlignment="1">
      <alignment horizontal="center" vertical="center" wrapText="1"/>
    </xf>
    <xf numFmtId="3" fontId="4" fillId="15" borderId="59" xfId="0" applyNumberFormat="1" applyFont="1" applyFill="1" applyBorder="1" applyAlignment="1">
      <alignment vertical="top"/>
    </xf>
    <xf numFmtId="0" fontId="16" fillId="4" borderId="102" xfId="0" applyFont="1" applyFill="1" applyBorder="1" applyAlignment="1">
      <alignment vertical="top"/>
    </xf>
    <xf numFmtId="0" fontId="4" fillId="0" borderId="62" xfId="0" applyFont="1" applyFill="1" applyBorder="1" applyAlignment="1">
      <alignment vertical="top" wrapText="1"/>
    </xf>
    <xf numFmtId="3" fontId="4" fillId="2" borderId="61" xfId="0" applyNumberFormat="1" applyFont="1" applyFill="1" applyBorder="1" applyAlignment="1">
      <alignment vertical="top"/>
    </xf>
    <xf numFmtId="0" fontId="4" fillId="0" borderId="62" xfId="2" applyFont="1" applyFill="1" applyBorder="1" applyAlignment="1">
      <alignment vertical="center"/>
    </xf>
    <xf numFmtId="3" fontId="2" fillId="16" borderId="62" xfId="0" applyNumberFormat="1" applyFont="1" applyFill="1" applyBorder="1" applyAlignment="1">
      <alignment vertical="top"/>
    </xf>
    <xf numFmtId="0" fontId="28" fillId="4" borderId="102" xfId="0" applyFont="1" applyFill="1" applyBorder="1" applyAlignment="1">
      <alignment horizontal="center" vertical="center"/>
    </xf>
    <xf numFmtId="0" fontId="28" fillId="2" borderId="102" xfId="0" applyFont="1" applyFill="1" applyBorder="1" applyAlignment="1">
      <alignment horizontal="center" vertical="center"/>
    </xf>
    <xf numFmtId="3" fontId="22" fillId="2" borderId="61" xfId="0" applyNumberFormat="1" applyFont="1" applyFill="1" applyBorder="1" applyAlignment="1">
      <alignment vertical="top"/>
    </xf>
    <xf numFmtId="3" fontId="22" fillId="2" borderId="62" xfId="0" applyNumberFormat="1" applyFont="1" applyFill="1" applyBorder="1" applyAlignment="1">
      <alignment vertical="top"/>
    </xf>
    <xf numFmtId="3" fontId="22" fillId="2" borderId="63" xfId="0" applyNumberFormat="1" applyFont="1" applyFill="1" applyBorder="1" applyAlignment="1">
      <alignment vertical="top"/>
    </xf>
    <xf numFmtId="164" fontId="3" fillId="2" borderId="62" xfId="0" applyNumberFormat="1" applyFont="1" applyFill="1" applyBorder="1" applyAlignment="1">
      <alignment vertical="top"/>
    </xf>
    <xf numFmtId="3" fontId="22" fillId="16" borderId="62" xfId="0" applyNumberFormat="1" applyFont="1" applyFill="1" applyBorder="1" applyAlignment="1">
      <alignment vertical="top"/>
    </xf>
    <xf numFmtId="3" fontId="3" fillId="2" borderId="62" xfId="0" applyNumberFormat="1" applyFont="1" applyFill="1" applyBorder="1" applyAlignment="1">
      <alignment vertical="top"/>
    </xf>
    <xf numFmtId="3" fontId="4" fillId="16" borderId="62" xfId="0" applyNumberFormat="1" applyFont="1" applyFill="1" applyBorder="1" applyAlignment="1">
      <alignment vertical="top"/>
    </xf>
    <xf numFmtId="0" fontId="15" fillId="0" borderId="62" xfId="2" applyFont="1" applyFill="1" applyBorder="1" applyAlignment="1">
      <alignment vertical="center"/>
    </xf>
    <xf numFmtId="3" fontId="15" fillId="16" borderId="62" xfId="0" applyNumberFormat="1" applyFont="1" applyFill="1" applyBorder="1" applyAlignment="1">
      <alignment vertical="top"/>
    </xf>
    <xf numFmtId="3" fontId="4" fillId="16" borderId="68" xfId="0" applyNumberFormat="1" applyFont="1" applyFill="1" applyBorder="1" applyAlignment="1">
      <alignment vertical="top"/>
    </xf>
    <xf numFmtId="0" fontId="22" fillId="15" borderId="98" xfId="0" applyFont="1" applyFill="1" applyBorder="1" applyAlignment="1">
      <alignment vertical="center" wrapText="1"/>
    </xf>
    <xf numFmtId="0" fontId="4" fillId="15" borderId="58" xfId="0" applyFont="1" applyFill="1" applyBorder="1" applyAlignment="1">
      <alignment vertical="top"/>
    </xf>
    <xf numFmtId="0" fontId="4" fillId="15" borderId="59" xfId="0" applyFont="1" applyFill="1" applyBorder="1" applyAlignment="1">
      <alignment vertical="top"/>
    </xf>
    <xf numFmtId="0" fontId="4" fillId="0" borderId="66" xfId="0" applyFont="1" applyFill="1" applyBorder="1" applyAlignment="1">
      <alignment vertical="top" wrapText="1"/>
    </xf>
    <xf numFmtId="3" fontId="15" fillId="0" borderId="61" xfId="0" quotePrefix="1" applyNumberFormat="1" applyFont="1" applyFill="1" applyBorder="1" applyAlignment="1">
      <alignment horizontal="right" vertical="top"/>
    </xf>
    <xf numFmtId="3" fontId="15" fillId="0" borderId="62" xfId="0" quotePrefix="1" applyNumberFormat="1" applyFont="1" applyFill="1" applyBorder="1" applyAlignment="1">
      <alignment horizontal="right" vertical="top"/>
    </xf>
    <xf numFmtId="0" fontId="4" fillId="0" borderId="66" xfId="2" applyFont="1" applyFill="1" applyBorder="1" applyAlignment="1">
      <alignment vertical="center"/>
    </xf>
    <xf numFmtId="3" fontId="4" fillId="0" borderId="61" xfId="0" quotePrefix="1" applyNumberFormat="1" applyFont="1" applyFill="1" applyBorder="1" applyAlignment="1">
      <alignment horizontal="right" vertical="top"/>
    </xf>
    <xf numFmtId="3" fontId="4" fillId="0" borderId="62" xfId="0" quotePrefix="1" applyNumberFormat="1" applyFont="1" applyFill="1" applyBorder="1" applyAlignment="1">
      <alignment horizontal="right" vertical="top"/>
    </xf>
    <xf numFmtId="3" fontId="22" fillId="4" borderId="61" xfId="0" quotePrefix="1" applyNumberFormat="1" applyFont="1" applyFill="1" applyBorder="1" applyAlignment="1">
      <alignment horizontal="right" vertical="top"/>
    </xf>
    <xf numFmtId="0" fontId="28" fillId="2" borderId="64" xfId="0" applyFont="1" applyFill="1" applyBorder="1" applyAlignment="1">
      <alignment horizontal="center" vertical="center"/>
    </xf>
    <xf numFmtId="3" fontId="22" fillId="2" borderId="61" xfId="0" quotePrefix="1" applyNumberFormat="1" applyFont="1" applyFill="1" applyBorder="1" applyAlignment="1">
      <alignment horizontal="right" vertical="top"/>
    </xf>
    <xf numFmtId="0" fontId="15" fillId="0" borderId="6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3" fontId="4" fillId="0" borderId="67" xfId="0" quotePrefix="1" applyNumberFormat="1" applyFont="1" applyFill="1" applyBorder="1" applyAlignment="1">
      <alignment horizontal="right" vertical="top"/>
    </xf>
    <xf numFmtId="3" fontId="4" fillId="0" borderId="68" xfId="0" quotePrefix="1" applyNumberFormat="1" applyFont="1" applyFill="1" applyBorder="1" applyAlignment="1">
      <alignment horizontal="right" vertical="top"/>
    </xf>
    <xf numFmtId="0" fontId="4" fillId="15" borderId="98" xfId="0" applyFont="1" applyFill="1" applyBorder="1" applyAlignment="1">
      <alignment vertical="top"/>
    </xf>
    <xf numFmtId="164" fontId="4" fillId="15" borderId="60" xfId="0" applyNumberFormat="1" applyFont="1" applyFill="1" applyBorder="1" applyAlignment="1">
      <alignment vertical="top"/>
    </xf>
    <xf numFmtId="164" fontId="15" fillId="0" borderId="64" xfId="0" applyNumberFormat="1" applyFont="1" applyFill="1" applyBorder="1" applyAlignment="1">
      <alignment vertical="top"/>
    </xf>
    <xf numFmtId="3" fontId="4" fillId="0" borderId="65" xfId="0" applyNumberFormat="1" applyFont="1" applyFill="1" applyBorder="1" applyAlignment="1">
      <alignment vertical="top"/>
    </xf>
    <xf numFmtId="164" fontId="4" fillId="0" borderId="64" xfId="0" applyNumberFormat="1" applyFont="1" applyFill="1" applyBorder="1" applyAlignment="1">
      <alignment vertical="top"/>
    </xf>
    <xf numFmtId="0" fontId="8" fillId="0" borderId="64" xfId="0" applyFont="1" applyBorder="1" applyAlignment="1">
      <alignment horizontal="center" vertical="center"/>
    </xf>
    <xf numFmtId="3" fontId="15" fillId="16" borderId="62" xfId="2" applyNumberFormat="1" applyFont="1" applyFill="1" applyBorder="1" applyAlignment="1">
      <alignment vertical="top" wrapText="1"/>
    </xf>
    <xf numFmtId="3" fontId="22" fillId="0" borderId="61" xfId="0" applyNumberFormat="1" applyFont="1" applyFill="1" applyBorder="1" applyAlignment="1">
      <alignment vertical="top"/>
    </xf>
    <xf numFmtId="3" fontId="22" fillId="0" borderId="62" xfId="0" applyNumberFormat="1" applyFont="1" applyFill="1" applyBorder="1" applyAlignment="1">
      <alignment vertical="top"/>
    </xf>
    <xf numFmtId="3" fontId="22" fillId="0" borderId="65" xfId="0" applyNumberFormat="1" applyFont="1" applyFill="1" applyBorder="1" applyAlignment="1">
      <alignment vertical="top"/>
    </xf>
    <xf numFmtId="171" fontId="4" fillId="0" borderId="64" xfId="1" applyNumberFormat="1" applyFont="1" applyFill="1" applyBorder="1" applyAlignment="1">
      <alignment vertical="center"/>
    </xf>
    <xf numFmtId="0" fontId="4" fillId="16" borderId="62" xfId="0" applyFont="1" applyFill="1" applyBorder="1" applyAlignment="1">
      <alignment vertical="top" wrapText="1"/>
    </xf>
    <xf numFmtId="170" fontId="22" fillId="4" borderId="64" xfId="1" applyNumberFormat="1" applyFont="1" applyFill="1" applyBorder="1" applyAlignment="1">
      <alignment vertical="center"/>
    </xf>
    <xf numFmtId="3" fontId="15" fillId="16" borderId="64" xfId="2" applyNumberFormat="1" applyFont="1" applyFill="1" applyBorder="1" applyAlignment="1">
      <alignment vertical="top" wrapText="1"/>
    </xf>
    <xf numFmtId="3" fontId="22" fillId="2" borderId="65" xfId="0" applyNumberFormat="1" applyFont="1" applyFill="1" applyBorder="1" applyAlignment="1">
      <alignment vertical="top"/>
    </xf>
    <xf numFmtId="43" fontId="22" fillId="2" borderId="62" xfId="1" applyFont="1" applyFill="1" applyBorder="1" applyAlignment="1">
      <alignment vertical="top"/>
    </xf>
    <xf numFmtId="170" fontId="22" fillId="2" borderId="66" xfId="1" applyNumberFormat="1" applyFont="1" applyFill="1" applyBorder="1" applyAlignment="1">
      <alignment vertical="center"/>
    </xf>
    <xf numFmtId="0" fontId="4" fillId="16" borderId="64" xfId="0" applyFont="1" applyFill="1" applyBorder="1" applyAlignment="1">
      <alignment vertical="top" wrapText="1"/>
    </xf>
    <xf numFmtId="3" fontId="4" fillId="2" borderId="65" xfId="0" applyNumberFormat="1" applyFont="1" applyFill="1" applyBorder="1" applyAlignment="1">
      <alignment vertical="top"/>
    </xf>
    <xf numFmtId="43" fontId="4" fillId="2" borderId="62" xfId="1" applyFont="1" applyFill="1" applyBorder="1" applyAlignment="1">
      <alignment vertical="top"/>
    </xf>
    <xf numFmtId="170" fontId="4" fillId="2" borderId="66" xfId="1" applyNumberFormat="1" applyFont="1" applyFill="1" applyBorder="1" applyAlignment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4" fillId="16" borderId="68" xfId="0" applyFont="1" applyFill="1" applyBorder="1" applyAlignment="1">
      <alignment vertical="top" wrapText="1"/>
    </xf>
    <xf numFmtId="3" fontId="4" fillId="2" borderId="96" xfId="0" applyNumberFormat="1" applyFont="1" applyFill="1" applyBorder="1" applyAlignment="1">
      <alignment vertical="top"/>
    </xf>
    <xf numFmtId="3" fontId="4" fillId="2" borderId="85" xfId="0" applyNumberFormat="1" applyFont="1" applyFill="1" applyBorder="1" applyAlignment="1">
      <alignment vertical="top"/>
    </xf>
    <xf numFmtId="0" fontId="22" fillId="15" borderId="60" xfId="0" applyFont="1" applyFill="1" applyBorder="1" applyAlignment="1">
      <alignment vertical="top" wrapText="1"/>
    </xf>
    <xf numFmtId="164" fontId="4" fillId="15" borderId="104" xfId="0" applyNumberFormat="1" applyFont="1" applyFill="1" applyBorder="1" applyAlignment="1">
      <alignment vertical="top"/>
    </xf>
    <xf numFmtId="43" fontId="22" fillId="4" borderId="102" xfId="1" applyFont="1" applyFill="1" applyBorder="1" applyAlignment="1">
      <alignment vertical="top"/>
    </xf>
    <xf numFmtId="167" fontId="22" fillId="4" borderId="62" xfId="1" applyNumberFormat="1" applyFont="1" applyFill="1" applyBorder="1" applyAlignment="1">
      <alignment vertical="top"/>
    </xf>
    <xf numFmtId="43" fontId="15" fillId="0" borderId="102" xfId="1" applyFont="1" applyFill="1" applyBorder="1" applyAlignment="1">
      <alignment vertical="top"/>
    </xf>
    <xf numFmtId="167" fontId="15" fillId="0" borderId="62" xfId="1" applyNumberFormat="1" applyFont="1" applyFill="1" applyBorder="1" applyAlignment="1">
      <alignment vertical="top"/>
    </xf>
    <xf numFmtId="0" fontId="4" fillId="0" borderId="64" xfId="0" applyFont="1" applyFill="1" applyBorder="1" applyAlignment="1">
      <alignment vertical="top" wrapText="1"/>
    </xf>
    <xf numFmtId="167" fontId="4" fillId="0" borderId="62" xfId="1" applyNumberFormat="1" applyFont="1" applyFill="1" applyBorder="1" applyAlignment="1">
      <alignment vertical="top"/>
    </xf>
    <xf numFmtId="0" fontId="4" fillId="0" borderId="64" xfId="2" applyFont="1" applyFill="1" applyBorder="1" applyAlignment="1">
      <alignment vertical="center"/>
    </xf>
    <xf numFmtId="3" fontId="15" fillId="23" borderId="64" xfId="2" applyNumberFormat="1" applyFont="1" applyFill="1" applyBorder="1" applyAlignment="1">
      <alignment vertical="top" wrapText="1"/>
    </xf>
    <xf numFmtId="43" fontId="22" fillId="2" borderId="61" xfId="1" applyFont="1" applyFill="1" applyBorder="1" applyAlignment="1">
      <alignment vertical="top"/>
    </xf>
    <xf numFmtId="43" fontId="4" fillId="0" borderId="66" xfId="1" applyFont="1" applyFill="1" applyBorder="1" applyAlignment="1">
      <alignment vertical="top"/>
    </xf>
    <xf numFmtId="43" fontId="22" fillId="2" borderId="66" xfId="1" applyFont="1" applyFill="1" applyBorder="1" applyAlignment="1">
      <alignment vertical="top"/>
    </xf>
    <xf numFmtId="43" fontId="22" fillId="2" borderId="64" xfId="1" applyFont="1" applyFill="1" applyBorder="1" applyAlignment="1">
      <alignment vertical="top"/>
    </xf>
    <xf numFmtId="167" fontId="22" fillId="2" borderId="62" xfId="1" applyNumberFormat="1" applyFont="1" applyFill="1" applyBorder="1" applyAlignment="1">
      <alignment vertical="top"/>
    </xf>
    <xf numFmtId="0" fontId="4" fillId="23" borderId="64" xfId="0" applyFont="1" applyFill="1" applyBorder="1" applyAlignment="1">
      <alignment vertical="top" wrapText="1"/>
    </xf>
    <xf numFmtId="43" fontId="4" fillId="2" borderId="61" xfId="1" applyFont="1" applyFill="1" applyBorder="1" applyAlignment="1">
      <alignment vertical="top"/>
    </xf>
    <xf numFmtId="167" fontId="4" fillId="2" borderId="62" xfId="1" applyNumberFormat="1" applyFont="1" applyFill="1" applyBorder="1" applyAlignment="1">
      <alignment vertical="top"/>
    </xf>
    <xf numFmtId="3" fontId="15" fillId="0" borderId="79" xfId="0" applyNumberFormat="1" applyFont="1" applyFill="1" applyBorder="1" applyAlignment="1">
      <alignment vertical="top"/>
    </xf>
    <xf numFmtId="3" fontId="4" fillId="0" borderId="77" xfId="0" applyNumberFormat="1" applyFont="1" applyFill="1" applyBorder="1" applyAlignment="1">
      <alignment vertical="top"/>
    </xf>
    <xf numFmtId="3" fontId="15" fillId="0" borderId="77" xfId="0" applyNumberFormat="1" applyFont="1" applyFill="1" applyBorder="1" applyAlignment="1">
      <alignment vertical="top"/>
    </xf>
    <xf numFmtId="164" fontId="22" fillId="0" borderId="62" xfId="0" applyNumberFormat="1" applyFont="1" applyFill="1" applyBorder="1" applyAlignment="1">
      <alignment vertical="top"/>
    </xf>
    <xf numFmtId="0" fontId="4" fillId="2" borderId="70" xfId="2" applyFont="1" applyFill="1" applyBorder="1" applyAlignment="1">
      <alignment vertical="center"/>
    </xf>
    <xf numFmtId="164" fontId="4" fillId="2" borderId="68" xfId="0" applyNumberFormat="1" applyFont="1" applyFill="1" applyBorder="1" applyAlignment="1">
      <alignment vertical="top"/>
    </xf>
    <xf numFmtId="43" fontId="4" fillId="2" borderId="70" xfId="1" applyFont="1" applyFill="1" applyBorder="1" applyAlignment="1">
      <alignment vertical="top"/>
    </xf>
    <xf numFmtId="3" fontId="15" fillId="2" borderId="61" xfId="0" applyNumberFormat="1" applyFont="1" applyFill="1" applyBorder="1" applyAlignment="1">
      <alignment vertical="top"/>
    </xf>
    <xf numFmtId="164" fontId="15" fillId="2" borderId="62" xfId="0" applyNumberFormat="1" applyFont="1" applyFill="1" applyBorder="1" applyAlignment="1">
      <alignment vertical="top"/>
    </xf>
    <xf numFmtId="164" fontId="15" fillId="2" borderId="64" xfId="0" applyNumberFormat="1" applyFont="1" applyFill="1" applyBorder="1" applyAlignment="1">
      <alignment vertical="top"/>
    </xf>
    <xf numFmtId="0" fontId="4" fillId="2" borderId="64" xfId="0" applyFont="1" applyFill="1" applyBorder="1" applyAlignment="1">
      <alignment vertical="top" wrapText="1"/>
    </xf>
    <xf numFmtId="43" fontId="23" fillId="2" borderId="62" xfId="1" applyFont="1" applyFill="1" applyBorder="1" applyAlignment="1">
      <alignment vertical="top"/>
    </xf>
    <xf numFmtId="43" fontId="23" fillId="2" borderId="64" xfId="1" applyFont="1" applyFill="1" applyBorder="1" applyAlignment="1">
      <alignment vertical="top"/>
    </xf>
    <xf numFmtId="164" fontId="4" fillId="2" borderId="62" xfId="0" applyNumberFormat="1" applyFont="1" applyFill="1" applyBorder="1" applyAlignment="1">
      <alignment vertical="top"/>
    </xf>
    <xf numFmtId="164" fontId="4" fillId="2" borderId="64" xfId="0" applyNumberFormat="1" applyFont="1" applyFill="1" applyBorder="1" applyAlignment="1">
      <alignment vertical="top"/>
    </xf>
    <xf numFmtId="0" fontId="4" fillId="2" borderId="64" xfId="2" applyFont="1" applyFill="1" applyBorder="1" applyAlignment="1">
      <alignment vertical="center"/>
    </xf>
    <xf numFmtId="164" fontId="22" fillId="2" borderId="62" xfId="0" applyNumberFormat="1" applyFont="1" applyFill="1" applyBorder="1" applyAlignment="1">
      <alignment vertical="top"/>
    </xf>
    <xf numFmtId="164" fontId="22" fillId="2" borderId="64" xfId="0" applyNumberFormat="1" applyFont="1" applyFill="1" applyBorder="1" applyAlignment="1">
      <alignment vertical="top"/>
    </xf>
    <xf numFmtId="3" fontId="4" fillId="2" borderId="69" xfId="0" applyNumberFormat="1" applyFont="1" applyFill="1" applyBorder="1" applyAlignment="1">
      <alignment vertical="top"/>
    </xf>
    <xf numFmtId="164" fontId="22" fillId="2" borderId="68" xfId="0" applyNumberFormat="1" applyFont="1" applyFill="1" applyBorder="1" applyAlignment="1">
      <alignment vertical="top"/>
    </xf>
    <xf numFmtId="0" fontId="1" fillId="0" borderId="47" xfId="0" applyFont="1" applyBorder="1" applyAlignment="1">
      <alignment vertical="center" wrapText="1"/>
    </xf>
    <xf numFmtId="0" fontId="16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horizontal="center" vertical="center"/>
    </xf>
    <xf numFmtId="164" fontId="16" fillId="0" borderId="0" xfId="0" applyNumberFormat="1" applyFont="1" applyFill="1" applyBorder="1" applyAlignment="1">
      <alignment vertical="top"/>
    </xf>
    <xf numFmtId="3" fontId="16" fillId="0" borderId="9" xfId="0" applyNumberFormat="1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  <xf numFmtId="3" fontId="16" fillId="0" borderId="0" xfId="0" applyNumberFormat="1" applyFont="1" applyAlignment="1">
      <alignment vertical="top"/>
    </xf>
    <xf numFmtId="0" fontId="16" fillId="0" borderId="49" xfId="0" applyFont="1" applyBorder="1" applyAlignment="1">
      <alignment horizontal="center" vertical="top"/>
    </xf>
    <xf numFmtId="0" fontId="25" fillId="2" borderId="97" xfId="0" quotePrefix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top"/>
    </xf>
    <xf numFmtId="3" fontId="39" fillId="2" borderId="108" xfId="0" quotePrefix="1" applyNumberFormat="1" applyFont="1" applyFill="1" applyBorder="1" applyAlignment="1">
      <alignment vertical="center"/>
    </xf>
    <xf numFmtId="3" fontId="15" fillId="2" borderId="120" xfId="0" quotePrefix="1" applyNumberFormat="1" applyFont="1" applyFill="1" applyBorder="1" applyAlignment="1">
      <alignment vertical="center"/>
    </xf>
    <xf numFmtId="165" fontId="39" fillId="0" borderId="108" xfId="2" applyNumberFormat="1" applyFont="1" applyFill="1" applyBorder="1" applyAlignment="1">
      <alignment horizontal="right" vertical="center"/>
    </xf>
    <xf numFmtId="3" fontId="39" fillId="2" borderId="123" xfId="0" quotePrefix="1" applyNumberFormat="1" applyFont="1" applyFill="1" applyBorder="1" applyAlignment="1">
      <alignment vertical="center"/>
    </xf>
    <xf numFmtId="3" fontId="39" fillId="2" borderId="111" xfId="0" quotePrefix="1" applyNumberFormat="1" applyFont="1" applyFill="1" applyBorder="1" applyAlignment="1">
      <alignment vertical="center"/>
    </xf>
    <xf numFmtId="165" fontId="39" fillId="0" borderId="111" xfId="2" applyNumberFormat="1" applyFont="1" applyFill="1" applyBorder="1" applyAlignment="1">
      <alignment horizontal="right" vertical="center"/>
    </xf>
    <xf numFmtId="3" fontId="39" fillId="2" borderId="121" xfId="0" quotePrefix="1" applyNumberFormat="1" applyFont="1" applyFill="1" applyBorder="1" applyAlignment="1">
      <alignment vertical="center"/>
    </xf>
    <xf numFmtId="3" fontId="15" fillId="2" borderId="11" xfId="0" quotePrefix="1" applyNumberFormat="1" applyFont="1" applyFill="1" applyBorder="1" applyAlignment="1">
      <alignment vertical="center"/>
    </xf>
    <xf numFmtId="3" fontId="39" fillId="2" borderId="14" xfId="0" quotePrefix="1" applyNumberFormat="1" applyFont="1" applyFill="1" applyBorder="1" applyAlignment="1">
      <alignment vertical="center"/>
    </xf>
    <xf numFmtId="3" fontId="39" fillId="2" borderId="13" xfId="0" quotePrefix="1" applyNumberFormat="1" applyFont="1" applyFill="1" applyBorder="1" applyAlignment="1">
      <alignment vertical="center"/>
    </xf>
    <xf numFmtId="3" fontId="15" fillId="2" borderId="89" xfId="0" quotePrefix="1" applyNumberFormat="1" applyFont="1" applyFill="1" applyBorder="1" applyAlignment="1">
      <alignment vertical="center"/>
    </xf>
    <xf numFmtId="3" fontId="15" fillId="2" borderId="1" xfId="0" quotePrefix="1" applyNumberFormat="1" applyFont="1" applyFill="1" applyBorder="1" applyAlignment="1">
      <alignment vertical="center"/>
    </xf>
    <xf numFmtId="165" fontId="39" fillId="0" borderId="33" xfId="2" applyNumberFormat="1" applyFont="1" applyFill="1" applyBorder="1" applyAlignment="1">
      <alignment horizontal="right" vertical="center"/>
    </xf>
    <xf numFmtId="3" fontId="39" fillId="2" borderId="1" xfId="0" quotePrefix="1" applyNumberFormat="1" applyFont="1" applyFill="1" applyBorder="1" applyAlignment="1">
      <alignment vertical="center"/>
    </xf>
    <xf numFmtId="0" fontId="7" fillId="4" borderId="59" xfId="0" applyFont="1" applyFill="1" applyBorder="1" applyAlignment="1">
      <alignment vertical="center"/>
    </xf>
    <xf numFmtId="3" fontId="22" fillId="4" borderId="57" xfId="0" applyNumberFormat="1" applyFont="1" applyFill="1" applyBorder="1" applyAlignment="1">
      <alignment vertical="center"/>
    </xf>
    <xf numFmtId="3" fontId="22" fillId="4" borderId="58" xfId="0" applyNumberFormat="1" applyFont="1" applyFill="1" applyBorder="1" applyAlignment="1">
      <alignment vertical="center"/>
    </xf>
    <xf numFmtId="3" fontId="22" fillId="4" borderId="60" xfId="0" applyNumberFormat="1" applyFont="1" applyFill="1" applyBorder="1" applyAlignment="1">
      <alignment vertical="center"/>
    </xf>
    <xf numFmtId="165" fontId="3" fillId="4" borderId="58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3" fontId="15" fillId="6" borderId="79" xfId="2" applyNumberFormat="1" applyFont="1" applyFill="1" applyBorder="1" applyAlignment="1">
      <alignment vertical="center"/>
    </xf>
    <xf numFmtId="3" fontId="39" fillId="6" borderId="77" xfId="2" applyNumberFormat="1" applyFont="1" applyFill="1" applyBorder="1" applyAlignment="1">
      <alignment vertical="center"/>
    </xf>
    <xf numFmtId="3" fontId="15" fillId="6" borderId="77" xfId="2" applyNumberFormat="1" applyFont="1" applyFill="1" applyBorder="1" applyAlignment="1">
      <alignment vertical="center"/>
    </xf>
    <xf numFmtId="3" fontId="15" fillId="6" borderId="80" xfId="2" applyNumberFormat="1" applyFont="1" applyFill="1" applyBorder="1" applyAlignment="1">
      <alignment vertical="center"/>
    </xf>
    <xf numFmtId="165" fontId="39" fillId="6" borderId="8" xfId="2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2" fillId="6" borderId="61" xfId="2" applyNumberFormat="1" applyFont="1" applyFill="1" applyBorder="1" applyAlignment="1">
      <alignment horizontal="right" vertical="center"/>
    </xf>
    <xf numFmtId="3" fontId="2" fillId="6" borderId="62" xfId="2" applyNumberFormat="1" applyFont="1" applyFill="1" applyBorder="1" applyAlignment="1">
      <alignment horizontal="right" vertical="center"/>
    </xf>
    <xf numFmtId="165" fontId="2" fillId="6" borderId="62" xfId="2" applyNumberFormat="1" applyFont="1" applyFill="1" applyBorder="1" applyAlignment="1">
      <alignment horizontal="right" vertical="center"/>
    </xf>
    <xf numFmtId="0" fontId="15" fillId="6" borderId="62" xfId="2" applyFont="1" applyFill="1" applyBorder="1" applyAlignment="1">
      <alignment horizontal="left" vertical="center"/>
    </xf>
    <xf numFmtId="3" fontId="15" fillId="6" borderId="7" xfId="2" applyNumberFormat="1" applyFont="1" applyFill="1" applyBorder="1" applyAlignment="1">
      <alignment vertical="top"/>
    </xf>
    <xf numFmtId="3" fontId="39" fillId="6" borderId="8" xfId="2" applyNumberFormat="1" applyFont="1" applyFill="1" applyBorder="1" applyAlignment="1">
      <alignment vertical="top"/>
    </xf>
    <xf numFmtId="3" fontId="15" fillId="6" borderId="8" xfId="2" applyNumberFormat="1" applyFont="1" applyFill="1" applyBorder="1" applyAlignment="1">
      <alignment vertical="top"/>
    </xf>
    <xf numFmtId="3" fontId="15" fillId="6" borderId="0" xfId="2" applyNumberFormat="1" applyFont="1" applyFill="1" applyBorder="1" applyAlignment="1">
      <alignment vertical="top"/>
    </xf>
    <xf numFmtId="3" fontId="39" fillId="6" borderId="9" xfId="2" applyNumberFormat="1" applyFont="1" applyFill="1" applyBorder="1" applyAlignment="1">
      <alignment vertical="top"/>
    </xf>
    <xf numFmtId="3" fontId="2" fillId="6" borderId="71" xfId="2" applyNumberFormat="1" applyFont="1" applyFill="1" applyBorder="1" applyAlignment="1">
      <alignment horizontal="right" vertical="center"/>
    </xf>
    <xf numFmtId="43" fontId="2" fillId="6" borderId="62" xfId="1" applyFont="1" applyFill="1" applyBorder="1" applyAlignment="1">
      <alignment horizontal="right" vertical="center"/>
    </xf>
    <xf numFmtId="43" fontId="2" fillId="6" borderId="64" xfId="1" applyFont="1" applyFill="1" applyBorder="1" applyAlignment="1">
      <alignment horizontal="right" vertical="center"/>
    </xf>
    <xf numFmtId="43" fontId="2" fillId="6" borderId="102" xfId="1" applyFont="1" applyFill="1" applyBorder="1" applyAlignment="1">
      <alignment horizontal="right" vertical="center"/>
    </xf>
    <xf numFmtId="3" fontId="22" fillId="4" borderId="61" xfId="2" applyNumberFormat="1" applyFont="1" applyFill="1" applyBorder="1" applyAlignment="1">
      <alignment vertical="center"/>
    </xf>
    <xf numFmtId="3" fontId="3" fillId="4" borderId="62" xfId="2" applyNumberFormat="1" applyFont="1" applyFill="1" applyBorder="1" applyAlignment="1">
      <alignment vertical="center"/>
    </xf>
    <xf numFmtId="3" fontId="22" fillId="4" borderId="62" xfId="2" applyNumberFormat="1" applyFont="1" applyFill="1" applyBorder="1" applyAlignment="1">
      <alignment vertical="center"/>
    </xf>
    <xf numFmtId="3" fontId="22" fillId="4" borderId="64" xfId="2" applyNumberFormat="1" applyFont="1" applyFill="1" applyBorder="1" applyAlignment="1">
      <alignment vertical="center"/>
    </xf>
    <xf numFmtId="165" fontId="3" fillId="4" borderId="62" xfId="2" applyNumberFormat="1" applyFont="1" applyFill="1" applyBorder="1" applyAlignment="1">
      <alignment vertical="center"/>
    </xf>
    <xf numFmtId="3" fontId="1" fillId="0" borderId="0" xfId="0" applyNumberFormat="1" applyFont="1" applyFill="1"/>
    <xf numFmtId="0" fontId="39" fillId="6" borderId="77" xfId="2" applyFont="1" applyFill="1" applyBorder="1" applyAlignment="1">
      <alignment vertical="top"/>
    </xf>
    <xf numFmtId="3" fontId="39" fillId="6" borderId="77" xfId="2" applyNumberFormat="1" applyFont="1" applyFill="1" applyBorder="1" applyAlignment="1">
      <alignment vertical="top"/>
    </xf>
    <xf numFmtId="165" fontId="39" fillId="6" borderId="77" xfId="2" applyNumberFormat="1" applyFont="1" applyFill="1" applyBorder="1" applyAlignment="1">
      <alignment vertical="top"/>
    </xf>
    <xf numFmtId="3" fontId="2" fillId="6" borderId="67" xfId="2" applyNumberFormat="1" applyFont="1" applyFill="1" applyBorder="1" applyAlignment="1">
      <alignment horizontal="right" vertical="center"/>
    </xf>
    <xf numFmtId="3" fontId="2" fillId="6" borderId="68" xfId="2" applyNumberFormat="1" applyFont="1" applyFill="1" applyBorder="1" applyAlignment="1">
      <alignment horizontal="right" vertical="center"/>
    </xf>
    <xf numFmtId="3" fontId="2" fillId="6" borderId="103" xfId="2" applyNumberFormat="1" applyFont="1" applyFill="1" applyBorder="1" applyAlignment="1">
      <alignment horizontal="right" vertical="center"/>
    </xf>
    <xf numFmtId="0" fontId="3" fillId="8" borderId="60" xfId="2" applyFont="1" applyFill="1" applyBorder="1" applyAlignment="1">
      <alignment horizontal="left" vertical="center" wrapText="1"/>
    </xf>
    <xf numFmtId="0" fontId="6" fillId="8" borderId="59" xfId="2" applyFont="1" applyFill="1" applyBorder="1" applyAlignment="1">
      <alignment horizontal="center" vertical="center" wrapText="1"/>
    </xf>
    <xf numFmtId="4" fontId="4" fillId="8" borderId="57" xfId="2" applyNumberFormat="1" applyFont="1" applyFill="1" applyBorder="1" applyAlignment="1">
      <alignment horizontal="right" vertical="center"/>
    </xf>
    <xf numFmtId="3" fontId="4" fillId="8" borderId="58" xfId="2" applyNumberFormat="1" applyFont="1" applyFill="1" applyBorder="1" applyAlignment="1">
      <alignment horizontal="right" vertical="center"/>
    </xf>
    <xf numFmtId="3" fontId="4" fillId="8" borderId="59" xfId="2" applyNumberFormat="1" applyFont="1" applyFill="1" applyBorder="1" applyAlignment="1">
      <alignment horizontal="right" vertical="center"/>
    </xf>
    <xf numFmtId="3" fontId="2" fillId="8" borderId="57" xfId="2" applyNumberFormat="1" applyFont="1" applyFill="1" applyBorder="1" applyAlignment="1">
      <alignment horizontal="right" vertical="center"/>
    </xf>
    <xf numFmtId="165" fontId="2" fillId="8" borderId="58" xfId="2" applyNumberFormat="1" applyFont="1" applyFill="1" applyBorder="1" applyAlignment="1">
      <alignment horizontal="right" vertical="center"/>
    </xf>
    <xf numFmtId="3" fontId="2" fillId="8" borderId="58" xfId="2" applyNumberFormat="1" applyFont="1" applyFill="1" applyBorder="1" applyAlignment="1">
      <alignment horizontal="right" vertical="center"/>
    </xf>
    <xf numFmtId="0" fontId="43" fillId="0" borderId="0" xfId="0" applyFont="1" applyFill="1"/>
    <xf numFmtId="3" fontId="7" fillId="4" borderId="63" xfId="2" applyNumberFormat="1" applyFont="1" applyFill="1" applyBorder="1" applyAlignment="1">
      <alignment vertical="center"/>
    </xf>
    <xf numFmtId="0" fontId="43" fillId="0" borderId="0" xfId="0" applyFont="1" applyBorder="1"/>
    <xf numFmtId="3" fontId="1" fillId="0" borderId="61" xfId="0" applyNumberFormat="1" applyFont="1" applyBorder="1"/>
    <xf numFmtId="0" fontId="1" fillId="0" borderId="62" xfId="0" applyFont="1" applyBorder="1"/>
    <xf numFmtId="43" fontId="1" fillId="0" borderId="62" xfId="1" applyFont="1" applyBorder="1"/>
    <xf numFmtId="43" fontId="1" fillId="0" borderId="63" xfId="1" applyFont="1" applyBorder="1"/>
    <xf numFmtId="0" fontId="1" fillId="0" borderId="61" xfId="0" applyFont="1" applyBorder="1"/>
    <xf numFmtId="0" fontId="2" fillId="0" borderId="64" xfId="2" applyFont="1" applyFill="1" applyBorder="1" applyAlignment="1">
      <alignment vertical="center" wrapText="1"/>
    </xf>
    <xf numFmtId="0" fontId="43" fillId="0" borderId="0" xfId="0" applyFont="1" applyFill="1" applyAlignment="1">
      <alignment vertical="center"/>
    </xf>
    <xf numFmtId="0" fontId="15" fillId="0" borderId="64" xfId="2" applyFont="1" applyFill="1" applyBorder="1" applyAlignment="1">
      <alignment vertical="top" wrapText="1"/>
    </xf>
    <xf numFmtId="0" fontId="9" fillId="0" borderId="0" xfId="2" applyFont="1" applyFill="1" applyBorder="1" applyAlignment="1">
      <alignment horizontal="center" vertical="center" wrapText="1"/>
    </xf>
    <xf numFmtId="3" fontId="9" fillId="0" borderId="0" xfId="2" applyNumberFormat="1" applyFont="1" applyFill="1" applyBorder="1" applyAlignment="1">
      <alignment horizontal="center" vertical="center" wrapText="1"/>
    </xf>
    <xf numFmtId="0" fontId="2" fillId="0" borderId="70" xfId="2" applyFont="1" applyFill="1" applyBorder="1" applyAlignment="1">
      <alignment vertical="center" wrapText="1"/>
    </xf>
    <xf numFmtId="0" fontId="6" fillId="0" borderId="7" xfId="2" applyFont="1" applyFill="1" applyBorder="1" applyAlignment="1">
      <alignment vertical="center"/>
    </xf>
    <xf numFmtId="0" fontId="2" fillId="0" borderId="8" xfId="2" applyFont="1" applyFill="1" applyBorder="1" applyAlignment="1">
      <alignment vertical="top" wrapText="1"/>
    </xf>
    <xf numFmtId="0" fontId="8" fillId="0" borderId="6" xfId="0" applyFont="1" applyBorder="1" applyAlignment="1">
      <alignment wrapText="1" shrinkToFit="1"/>
    </xf>
    <xf numFmtId="4" fontId="4" fillId="0" borderId="7" xfId="1" applyNumberFormat="1" applyFont="1" applyFill="1" applyBorder="1" applyAlignment="1">
      <alignment vertical="top"/>
    </xf>
    <xf numFmtId="43" fontId="4" fillId="0" borderId="8" xfId="1" applyFont="1" applyFill="1" applyBorder="1" applyAlignment="1">
      <alignment vertical="top" wrapText="1"/>
    </xf>
    <xf numFmtId="3" fontId="4" fillId="0" borderId="8" xfId="2" applyNumberFormat="1" applyFont="1" applyFill="1" applyBorder="1" applyAlignment="1">
      <alignment horizontal="right" vertical="center"/>
    </xf>
    <xf numFmtId="3" fontId="4" fillId="2" borderId="8" xfId="2" applyNumberFormat="1" applyFont="1" applyFill="1" applyBorder="1" applyAlignment="1">
      <alignment horizontal="right" vertical="center"/>
    </xf>
    <xf numFmtId="3" fontId="4" fillId="2" borderId="10" xfId="2" applyNumberFormat="1" applyFont="1" applyFill="1" applyBorder="1" applyAlignment="1">
      <alignment horizontal="right" vertical="center"/>
    </xf>
    <xf numFmtId="3" fontId="2" fillId="0" borderId="7" xfId="2" applyNumberFormat="1" applyFont="1" applyFill="1" applyBorder="1" applyAlignment="1">
      <alignment horizontal="right" vertical="center"/>
    </xf>
    <xf numFmtId="0" fontId="16" fillId="2" borderId="8" xfId="0" quotePrefix="1" applyFont="1" applyFill="1" applyBorder="1" applyAlignment="1">
      <alignment horizontal="center" vertical="top"/>
    </xf>
    <xf numFmtId="0" fontId="5" fillId="0" borderId="88" xfId="2" applyFont="1" applyFill="1" applyBorder="1" applyAlignment="1">
      <alignment vertical="center" wrapText="1"/>
    </xf>
    <xf numFmtId="0" fontId="3" fillId="8" borderId="58" xfId="2" applyFont="1" applyFill="1" applyBorder="1" applyAlignment="1">
      <alignment horizontal="left" vertical="center" wrapText="1"/>
    </xf>
    <xf numFmtId="3" fontId="4" fillId="8" borderId="57" xfId="2" applyNumberFormat="1" applyFont="1" applyFill="1" applyBorder="1" applyAlignment="1">
      <alignment horizontal="right" vertical="center"/>
    </xf>
    <xf numFmtId="3" fontId="4" fillId="8" borderId="60" xfId="2" applyNumberFormat="1" applyFont="1" applyFill="1" applyBorder="1" applyAlignment="1">
      <alignment horizontal="right" vertical="center"/>
    </xf>
    <xf numFmtId="0" fontId="39" fillId="0" borderId="62" xfId="2" applyFont="1" applyFill="1" applyBorder="1" applyAlignment="1">
      <alignment vertical="top"/>
    </xf>
    <xf numFmtId="3" fontId="1" fillId="0" borderId="71" xfId="0" applyNumberFormat="1" applyFont="1" applyBorder="1"/>
    <xf numFmtId="0" fontId="1" fillId="0" borderId="102" xfId="0" applyFont="1" applyBorder="1"/>
    <xf numFmtId="43" fontId="1" fillId="0" borderId="102" xfId="1" applyFont="1" applyBorder="1"/>
    <xf numFmtId="3" fontId="2" fillId="0" borderId="61" xfId="2" applyNumberFormat="1" applyFont="1" applyFill="1" applyBorder="1" applyAlignment="1">
      <alignment vertical="top"/>
    </xf>
    <xf numFmtId="165" fontId="2" fillId="0" borderId="62" xfId="2" applyNumberFormat="1" applyFont="1" applyFill="1" applyBorder="1" applyAlignment="1">
      <alignment vertical="top"/>
    </xf>
    <xf numFmtId="43" fontId="2" fillId="0" borderId="62" xfId="1" applyFont="1" applyFill="1" applyBorder="1" applyAlignment="1">
      <alignment vertical="top"/>
    </xf>
    <xf numFmtId="0" fontId="2" fillId="0" borderId="62" xfId="2" applyFont="1" applyFill="1" applyBorder="1" applyAlignment="1">
      <alignment vertical="top" wrapText="1"/>
    </xf>
    <xf numFmtId="0" fontId="2" fillId="0" borderId="68" xfId="2" applyFont="1" applyFill="1" applyBorder="1" applyAlignment="1">
      <alignment vertical="top" wrapText="1"/>
    </xf>
    <xf numFmtId="0" fontId="6" fillId="8" borderId="60" xfId="2" applyFont="1" applyFill="1" applyBorder="1" applyAlignment="1">
      <alignment horizontal="center" vertical="center" wrapText="1"/>
    </xf>
    <xf numFmtId="3" fontId="4" fillId="8" borderId="138" xfId="2" applyNumberFormat="1" applyFont="1" applyFill="1" applyBorder="1" applyAlignment="1">
      <alignment horizontal="right" vertical="center"/>
    </xf>
    <xf numFmtId="3" fontId="4" fillId="8" borderId="104" xfId="2" applyNumberFormat="1" applyFont="1" applyFill="1" applyBorder="1" applyAlignment="1">
      <alignment horizontal="right" vertical="center"/>
    </xf>
    <xf numFmtId="3" fontId="4" fillId="8" borderId="98" xfId="2" applyNumberFormat="1" applyFont="1" applyFill="1" applyBorder="1" applyAlignment="1">
      <alignment horizontal="right" vertical="center"/>
    </xf>
    <xf numFmtId="3" fontId="7" fillId="4" borderId="64" xfId="2" applyNumberFormat="1" applyFont="1" applyFill="1" applyBorder="1" applyAlignment="1">
      <alignment vertical="center"/>
    </xf>
    <xf numFmtId="4" fontId="3" fillId="4" borderId="61" xfId="2" applyNumberFormat="1" applyFont="1" applyFill="1" applyBorder="1" applyAlignment="1"/>
    <xf numFmtId="43" fontId="3" fillId="4" borderId="139" xfId="1" applyFont="1" applyFill="1" applyBorder="1" applyAlignment="1"/>
    <xf numFmtId="4" fontId="15" fillId="2" borderId="61" xfId="2" applyNumberFormat="1" applyFont="1" applyFill="1" applyBorder="1" applyAlignment="1"/>
    <xf numFmtId="43" fontId="15" fillId="2" borderId="139" xfId="1" applyFont="1" applyFill="1" applyBorder="1" applyAlignment="1"/>
    <xf numFmtId="43" fontId="15" fillId="2" borderId="102" xfId="1" applyFont="1" applyFill="1" applyBorder="1" applyAlignment="1"/>
    <xf numFmtId="43" fontId="15" fillId="0" borderId="66" xfId="1" applyFont="1" applyFill="1" applyBorder="1" applyAlignment="1">
      <alignment horizontal="right" vertical="center"/>
    </xf>
    <xf numFmtId="4" fontId="1" fillId="0" borderId="61" xfId="0" applyNumberFormat="1" applyFont="1" applyBorder="1"/>
    <xf numFmtId="43" fontId="1" fillId="0" borderId="139" xfId="1" applyFont="1" applyBorder="1"/>
    <xf numFmtId="0" fontId="2" fillId="0" borderId="64" xfId="2" applyFont="1" applyFill="1" applyBorder="1" applyAlignment="1">
      <alignment vertical="top" wrapText="1"/>
    </xf>
    <xf numFmtId="4" fontId="2" fillId="0" borderId="61" xfId="2" applyNumberFormat="1" applyFont="1" applyFill="1" applyBorder="1" applyAlignment="1">
      <alignment horizontal="right" vertical="center"/>
    </xf>
    <xf numFmtId="43" fontId="2" fillId="0" borderId="139" xfId="1" applyFont="1" applyFill="1" applyBorder="1" applyAlignment="1">
      <alignment horizontal="right" vertical="center"/>
    </xf>
    <xf numFmtId="0" fontId="15" fillId="0" borderId="64" xfId="2" applyFont="1" applyFill="1" applyBorder="1" applyAlignment="1">
      <alignment horizontal="left" vertical="center"/>
    </xf>
    <xf numFmtId="0" fontId="8" fillId="0" borderId="64" xfId="0" applyFont="1" applyBorder="1"/>
    <xf numFmtId="4" fontId="1" fillId="0" borderId="71" xfId="0" applyNumberFormat="1" applyFont="1" applyBorder="1"/>
    <xf numFmtId="43" fontId="1" fillId="0" borderId="140" xfId="1" applyFont="1" applyBorder="1"/>
    <xf numFmtId="4" fontId="2" fillId="0" borderId="11" xfId="2" applyNumberFormat="1" applyFont="1" applyFill="1" applyBorder="1" applyAlignment="1">
      <alignment horizontal="right" vertical="center"/>
    </xf>
    <xf numFmtId="43" fontId="2" fillId="0" borderId="13" xfId="1" applyFont="1" applyFill="1" applyBorder="1" applyAlignment="1">
      <alignment horizontal="right" vertical="center"/>
    </xf>
    <xf numFmtId="4" fontId="2" fillId="15" borderId="57" xfId="2" applyNumberFormat="1" applyFont="1" applyFill="1" applyBorder="1" applyAlignment="1">
      <alignment horizontal="right" vertical="center"/>
    </xf>
    <xf numFmtId="3" fontId="2" fillId="15" borderId="58" xfId="2" applyNumberFormat="1" applyFont="1" applyFill="1" applyBorder="1" applyAlignment="1">
      <alignment horizontal="right" vertical="center"/>
    </xf>
    <xf numFmtId="43" fontId="2" fillId="15" borderId="58" xfId="1" applyFont="1" applyFill="1" applyBorder="1" applyAlignment="1">
      <alignment horizontal="right" vertical="center"/>
    </xf>
    <xf numFmtId="43" fontId="2" fillId="15" borderId="59" xfId="1" applyFont="1" applyFill="1" applyBorder="1" applyAlignment="1">
      <alignment horizontal="right" vertical="center"/>
    </xf>
    <xf numFmtId="3" fontId="2" fillId="15" borderId="57" xfId="2" applyNumberFormat="1" applyFont="1" applyFill="1" applyBorder="1" applyAlignment="1">
      <alignment horizontal="right" vertical="center"/>
    </xf>
    <xf numFmtId="165" fontId="2" fillId="15" borderId="58" xfId="2" applyNumberFormat="1" applyFont="1" applyFill="1" applyBorder="1" applyAlignment="1">
      <alignment horizontal="right" vertical="center"/>
    </xf>
    <xf numFmtId="3" fontId="6" fillId="4" borderId="64" xfId="2" applyNumberFormat="1" applyFont="1" applyFill="1" applyBorder="1" applyAlignment="1">
      <alignment vertical="center"/>
    </xf>
    <xf numFmtId="3" fontId="39" fillId="2" borderId="63" xfId="2" applyNumberFormat="1" applyFont="1" applyFill="1" applyBorder="1" applyAlignment="1"/>
    <xf numFmtId="3" fontId="2" fillId="0" borderId="62" xfId="2" applyNumberFormat="1" applyFont="1" applyFill="1" applyBorder="1" applyAlignment="1">
      <alignment vertical="top"/>
    </xf>
    <xf numFmtId="3" fontId="39" fillId="2" borderId="66" xfId="2" applyNumberFormat="1" applyFont="1" applyFill="1" applyBorder="1" applyAlignment="1"/>
    <xf numFmtId="43" fontId="4" fillId="2" borderId="62" xfId="1" applyFont="1" applyFill="1" applyBorder="1" applyAlignment="1"/>
    <xf numFmtId="3" fontId="1" fillId="0" borderId="102" xfId="0" applyNumberFormat="1" applyFont="1" applyBorder="1"/>
    <xf numFmtId="0" fontId="1" fillId="0" borderId="71" xfId="0" applyFont="1" applyBorder="1"/>
    <xf numFmtId="43" fontId="1" fillId="0" borderId="66" xfId="1" applyFont="1" applyBorder="1"/>
    <xf numFmtId="3" fontId="43" fillId="0" borderId="0" xfId="0" applyNumberFormat="1" applyFont="1" applyFill="1"/>
    <xf numFmtId="3" fontId="2" fillId="0" borderId="68" xfId="2" applyNumberFormat="1" applyFont="1" applyFill="1" applyBorder="1" applyAlignment="1">
      <alignment vertical="top"/>
    </xf>
    <xf numFmtId="0" fontId="3" fillId="8" borderId="77" xfId="2" applyFont="1" applyFill="1" applyBorder="1" applyAlignment="1">
      <alignment horizontal="left" vertical="center" wrapText="1"/>
    </xf>
    <xf numFmtId="0" fontId="6" fillId="8" borderId="78" xfId="2" applyFont="1" applyFill="1" applyBorder="1" applyAlignment="1">
      <alignment horizontal="center" vertical="center" wrapText="1"/>
    </xf>
    <xf numFmtId="4" fontId="4" fillId="8" borderId="79" xfId="2" applyNumberFormat="1" applyFont="1" applyFill="1" applyBorder="1" applyAlignment="1">
      <alignment horizontal="right" vertical="center"/>
    </xf>
    <xf numFmtId="3" fontId="4" fillId="8" borderId="77" xfId="2" applyNumberFormat="1" applyFont="1" applyFill="1" applyBorder="1" applyAlignment="1">
      <alignment horizontal="right" vertical="center"/>
    </xf>
    <xf numFmtId="3" fontId="4" fillId="8" borderId="80" xfId="2" applyNumberFormat="1" applyFont="1" applyFill="1" applyBorder="1" applyAlignment="1">
      <alignment horizontal="right" vertical="center"/>
    </xf>
    <xf numFmtId="3" fontId="2" fillId="8" borderId="79" xfId="2" applyNumberFormat="1" applyFont="1" applyFill="1" applyBorder="1" applyAlignment="1">
      <alignment horizontal="right" vertical="center"/>
    </xf>
    <xf numFmtId="165" fontId="2" fillId="8" borderId="77" xfId="2" applyNumberFormat="1" applyFont="1" applyFill="1" applyBorder="1" applyAlignment="1">
      <alignment horizontal="right" vertical="center"/>
    </xf>
    <xf numFmtId="3" fontId="2" fillId="8" borderId="77" xfId="2" applyNumberFormat="1" applyFont="1" applyFill="1" applyBorder="1" applyAlignment="1">
      <alignment horizontal="right" vertical="center"/>
    </xf>
    <xf numFmtId="3" fontId="4" fillId="0" borderId="61" xfId="2" applyNumberFormat="1" applyFont="1" applyFill="1" applyBorder="1" applyAlignment="1">
      <alignment vertical="top"/>
    </xf>
    <xf numFmtId="165" fontId="4" fillId="0" borderId="62" xfId="2" applyNumberFormat="1" applyFont="1" applyFill="1" applyBorder="1" applyAlignment="1">
      <alignment vertical="top"/>
    </xf>
    <xf numFmtId="0" fontId="3" fillId="9" borderId="58" xfId="2" applyFont="1" applyFill="1" applyBorder="1" applyAlignment="1">
      <alignment horizontal="left" vertical="center" wrapText="1"/>
    </xf>
    <xf numFmtId="0" fontId="6" fillId="9" borderId="59" xfId="2" applyFont="1" applyFill="1" applyBorder="1" applyAlignment="1">
      <alignment horizontal="center" vertical="center" wrapText="1"/>
    </xf>
    <xf numFmtId="4" fontId="4" fillId="9" borderId="17" xfId="2" applyNumberFormat="1" applyFont="1" applyFill="1" applyBorder="1" applyAlignment="1">
      <alignment horizontal="right" vertical="center"/>
    </xf>
    <xf numFmtId="3" fontId="4" fillId="9" borderId="58" xfId="2" applyNumberFormat="1" applyFont="1" applyFill="1" applyBorder="1" applyAlignment="1">
      <alignment horizontal="right" vertical="center"/>
    </xf>
    <xf numFmtId="3" fontId="4" fillId="9" borderId="60" xfId="2" applyNumberFormat="1" applyFont="1" applyFill="1" applyBorder="1" applyAlignment="1">
      <alignment horizontal="right" vertical="center"/>
    </xf>
    <xf numFmtId="3" fontId="2" fillId="9" borderId="57" xfId="2" applyNumberFormat="1" applyFont="1" applyFill="1" applyBorder="1" applyAlignment="1">
      <alignment horizontal="right" vertical="center"/>
    </xf>
    <xf numFmtId="165" fontId="2" fillId="9" borderId="20" xfId="2" applyNumberFormat="1" applyFont="1" applyFill="1" applyBorder="1" applyAlignment="1">
      <alignment horizontal="right" vertical="center"/>
    </xf>
    <xf numFmtId="3" fontId="2" fillId="9" borderId="58" xfId="2" applyNumberFormat="1" applyFont="1" applyFill="1" applyBorder="1" applyAlignment="1">
      <alignment horizontal="right" vertical="center"/>
    </xf>
    <xf numFmtId="0" fontId="3" fillId="4" borderId="8" xfId="2" applyFont="1" applyFill="1" applyBorder="1" applyAlignment="1">
      <alignment horizontal="left" vertical="center"/>
    </xf>
    <xf numFmtId="3" fontId="7" fillId="4" borderId="6" xfId="2" applyNumberFormat="1" applyFont="1" applyFill="1" applyBorder="1" applyAlignment="1">
      <alignment vertical="center"/>
    </xf>
    <xf numFmtId="4" fontId="4" fillId="4" borderId="61" xfId="1" applyNumberFormat="1" applyFont="1" applyFill="1" applyBorder="1" applyAlignment="1">
      <alignment vertical="center"/>
    </xf>
    <xf numFmtId="43" fontId="4" fillId="4" borderId="62" xfId="1" applyFont="1" applyFill="1" applyBorder="1" applyAlignment="1">
      <alignment vertical="center"/>
    </xf>
    <xf numFmtId="43" fontId="4" fillId="4" borderId="10" xfId="1" applyFont="1" applyFill="1" applyBorder="1" applyAlignment="1">
      <alignment vertical="center"/>
    </xf>
    <xf numFmtId="43" fontId="4" fillId="4" borderId="61" xfId="1" applyFont="1" applyFill="1" applyBorder="1" applyAlignment="1">
      <alignment vertical="center"/>
    </xf>
    <xf numFmtId="43" fontId="4" fillId="4" borderId="8" xfId="1" applyFont="1" applyFill="1" applyBorder="1" applyAlignment="1">
      <alignment vertical="center"/>
    </xf>
    <xf numFmtId="0" fontId="39" fillId="0" borderId="94" xfId="2" applyFont="1" applyFill="1" applyBorder="1" applyAlignment="1">
      <alignment vertical="top"/>
    </xf>
    <xf numFmtId="4" fontId="23" fillId="0" borderId="61" xfId="1" applyNumberFormat="1" applyFont="1" applyFill="1" applyBorder="1" applyAlignment="1">
      <alignment horizontal="right" vertical="center"/>
    </xf>
    <xf numFmtId="43" fontId="23" fillId="0" borderId="91" xfId="1" applyFont="1" applyFill="1" applyBorder="1" applyAlignment="1">
      <alignment horizontal="right" vertical="center"/>
    </xf>
    <xf numFmtId="43" fontId="23" fillId="0" borderId="7" xfId="1" applyFont="1" applyFill="1" applyBorder="1" applyAlignment="1">
      <alignment horizontal="right" vertical="center"/>
    </xf>
    <xf numFmtId="43" fontId="23" fillId="0" borderId="8" xfId="1" applyFont="1" applyFill="1" applyBorder="1" applyAlignment="1">
      <alignment horizontal="right" vertical="center"/>
    </xf>
    <xf numFmtId="43" fontId="23" fillId="0" borderId="94" xfId="1" applyFont="1" applyFill="1" applyBorder="1" applyAlignment="1">
      <alignment horizontal="right" vertical="center"/>
    </xf>
    <xf numFmtId="4" fontId="4" fillId="0" borderId="61" xfId="1" applyNumberFormat="1" applyFont="1" applyFill="1" applyBorder="1" applyAlignment="1">
      <alignment vertical="top"/>
    </xf>
    <xf numFmtId="43" fontId="4" fillId="0" borderId="61" xfId="1" applyFont="1" applyFill="1" applyBorder="1" applyAlignment="1">
      <alignment vertical="top"/>
    </xf>
    <xf numFmtId="0" fontId="2" fillId="0" borderId="28" xfId="2" applyFont="1" applyFill="1" applyBorder="1" applyAlignment="1">
      <alignment vertical="top"/>
    </xf>
    <xf numFmtId="4" fontId="4" fillId="0" borderId="26" xfId="1" applyNumberFormat="1" applyFont="1" applyFill="1" applyBorder="1" applyAlignment="1">
      <alignment vertical="top"/>
    </xf>
    <xf numFmtId="43" fontId="4" fillId="0" borderId="27" xfId="1" applyFont="1" applyFill="1" applyBorder="1" applyAlignment="1">
      <alignment vertical="top"/>
    </xf>
    <xf numFmtId="43" fontId="4" fillId="0" borderId="26" xfId="1" applyFont="1" applyFill="1" applyBorder="1" applyAlignment="1">
      <alignment vertical="top"/>
    </xf>
    <xf numFmtId="43" fontId="4" fillId="0" borderId="28" xfId="1" applyFont="1" applyFill="1" applyBorder="1" applyAlignment="1">
      <alignment vertical="top"/>
    </xf>
    <xf numFmtId="0" fontId="39" fillId="0" borderId="4" xfId="2" applyFont="1" applyFill="1" applyBorder="1" applyAlignment="1">
      <alignment horizontal="left" vertical="center"/>
    </xf>
    <xf numFmtId="4" fontId="23" fillId="0" borderId="21" xfId="1" applyNumberFormat="1" applyFont="1" applyFill="1" applyBorder="1" applyAlignment="1">
      <alignment horizontal="right" vertical="center"/>
    </xf>
    <xf numFmtId="43" fontId="23" fillId="0" borderId="23" xfId="1" applyFont="1" applyFill="1" applyBorder="1" applyAlignment="1">
      <alignment horizontal="right" vertical="center"/>
    </xf>
    <xf numFmtId="43" fontId="23" fillId="0" borderId="21" xfId="1" applyFont="1" applyFill="1" applyBorder="1" applyAlignment="1">
      <alignment horizontal="right" vertical="center"/>
    </xf>
    <xf numFmtId="43" fontId="23" fillId="0" borderId="4" xfId="1" applyFont="1" applyFill="1" applyBorder="1" applyAlignment="1">
      <alignment horizontal="right" vertical="center"/>
    </xf>
    <xf numFmtId="0" fontId="2" fillId="0" borderId="5" xfId="2" applyFont="1" applyFill="1" applyBorder="1" applyAlignment="1">
      <alignment vertical="top"/>
    </xf>
    <xf numFmtId="4" fontId="4" fillId="0" borderId="3" xfId="1" applyNumberFormat="1" applyFont="1" applyFill="1" applyBorder="1" applyAlignment="1">
      <alignment vertical="top"/>
    </xf>
    <xf numFmtId="43" fontId="4" fillId="0" borderId="119" xfId="1" applyFont="1" applyFill="1" applyBorder="1" applyAlignment="1">
      <alignment vertical="top"/>
    </xf>
    <xf numFmtId="43" fontId="4" fillId="0" borderId="3" xfId="1" applyFont="1" applyFill="1" applyBorder="1" applyAlignment="1">
      <alignment vertical="top"/>
    </xf>
    <xf numFmtId="43" fontId="4" fillId="0" borderId="5" xfId="1" applyFont="1" applyFill="1" applyBorder="1" applyAlignment="1">
      <alignment vertical="top"/>
    </xf>
    <xf numFmtId="0" fontId="39" fillId="0" borderId="68" xfId="2" applyFont="1" applyFill="1" applyBorder="1" applyAlignment="1">
      <alignment vertical="top"/>
    </xf>
    <xf numFmtId="4" fontId="23" fillId="0" borderId="67" xfId="1" applyNumberFormat="1" applyFont="1" applyFill="1" applyBorder="1" applyAlignment="1">
      <alignment horizontal="right" vertical="center"/>
    </xf>
    <xf numFmtId="43" fontId="23" fillId="0" borderId="70" xfId="1" applyFont="1" applyFill="1" applyBorder="1" applyAlignment="1">
      <alignment horizontal="right" vertical="center"/>
    </xf>
    <xf numFmtId="43" fontId="23" fillId="0" borderId="67" xfId="1" applyFont="1" applyFill="1" applyBorder="1" applyAlignment="1">
      <alignment horizontal="right" vertical="center"/>
    </xf>
    <xf numFmtId="43" fontId="23" fillId="0" borderId="13" xfId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vertical="top"/>
    </xf>
    <xf numFmtId="43" fontId="4" fillId="0" borderId="8" xfId="1" applyFont="1" applyFill="1" applyBorder="1" applyAlignment="1">
      <alignment vertical="top"/>
    </xf>
    <xf numFmtId="43" fontId="4" fillId="0" borderId="10" xfId="1" applyFont="1" applyFill="1" applyBorder="1" applyAlignment="1">
      <alignment vertical="top"/>
    </xf>
    <xf numFmtId="43" fontId="4" fillId="0" borderId="7" xfId="1" applyFont="1" applyFill="1" applyBorder="1" applyAlignment="1">
      <alignment vertical="top"/>
    </xf>
    <xf numFmtId="43" fontId="4" fillId="0" borderId="77" xfId="1" applyFont="1" applyFill="1" applyBorder="1" applyAlignment="1">
      <alignment vertical="top"/>
    </xf>
    <xf numFmtId="4" fontId="4" fillId="0" borderId="67" xfId="1" applyNumberFormat="1" applyFont="1" applyFill="1" applyBorder="1" applyAlignment="1">
      <alignment vertical="top"/>
    </xf>
    <xf numFmtId="0" fontId="6" fillId="0" borderId="11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/>
    </xf>
    <xf numFmtId="0" fontId="8" fillId="0" borderId="31" xfId="0" applyFont="1" applyBorder="1" applyAlignment="1">
      <alignment wrapText="1"/>
    </xf>
    <xf numFmtId="4" fontId="4" fillId="0" borderId="11" xfId="0" applyNumberFormat="1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165" fontId="4" fillId="0" borderId="13" xfId="0" applyNumberFormat="1" applyFont="1" applyBorder="1" applyAlignment="1">
      <alignment vertical="top"/>
    </xf>
    <xf numFmtId="3" fontId="15" fillId="0" borderId="13" xfId="2" applyNumberFormat="1" applyFont="1" applyFill="1" applyBorder="1" applyAlignment="1">
      <alignment horizontal="right" vertical="center"/>
    </xf>
    <xf numFmtId="0" fontId="5" fillId="0" borderId="92" xfId="2" applyFont="1" applyFill="1" applyBorder="1" applyAlignment="1">
      <alignment horizontal="center" vertical="center" wrapText="1"/>
    </xf>
    <xf numFmtId="0" fontId="6" fillId="0" borderId="50" xfId="2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vertical="top"/>
    </xf>
    <xf numFmtId="0" fontId="8" fillId="0" borderId="16" xfId="0" applyFont="1" applyBorder="1" applyAlignment="1">
      <alignment wrapText="1"/>
    </xf>
    <xf numFmtId="4" fontId="4" fillId="0" borderId="50" xfId="2" applyNumberFormat="1" applyFont="1" applyFill="1" applyBorder="1" applyAlignment="1">
      <alignment vertical="top"/>
    </xf>
    <xf numFmtId="3" fontId="4" fillId="0" borderId="51" xfId="2" applyNumberFormat="1" applyFont="1" applyFill="1" applyBorder="1" applyAlignment="1">
      <alignment vertical="top"/>
    </xf>
    <xf numFmtId="3" fontId="4" fillId="0" borderId="116" xfId="2" applyNumberFormat="1" applyFont="1" applyFill="1" applyBorder="1" applyAlignment="1">
      <alignment vertical="top"/>
    </xf>
    <xf numFmtId="3" fontId="2" fillId="0" borderId="50" xfId="2" applyNumberFormat="1" applyFont="1" applyFill="1" applyBorder="1" applyAlignment="1">
      <alignment vertical="top"/>
    </xf>
    <xf numFmtId="165" fontId="2" fillId="0" borderId="51" xfId="2" applyNumberFormat="1" applyFont="1" applyFill="1" applyBorder="1" applyAlignment="1">
      <alignment vertical="top"/>
    </xf>
    <xf numFmtId="3" fontId="2" fillId="0" borderId="51" xfId="2" applyNumberFormat="1" applyFont="1" applyFill="1" applyBorder="1" applyAlignment="1">
      <alignment vertical="top"/>
    </xf>
    <xf numFmtId="0" fontId="5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vertical="top" wrapText="1"/>
    </xf>
    <xf numFmtId="0" fontId="8" fillId="0" borderId="2" xfId="0" applyFont="1" applyBorder="1" applyAlignment="1">
      <alignment wrapText="1"/>
    </xf>
    <xf numFmtId="4" fontId="4" fillId="0" borderId="3" xfId="2" applyNumberFormat="1" applyFont="1" applyFill="1" applyBorder="1" applyAlignment="1">
      <alignment horizontal="right" vertical="center"/>
    </xf>
    <xf numFmtId="3" fontId="4" fillId="0" borderId="5" xfId="2" applyNumberFormat="1" applyFont="1" applyFill="1" applyBorder="1" applyAlignment="1">
      <alignment horizontal="right" vertical="center"/>
    </xf>
    <xf numFmtId="3" fontId="4" fillId="0" borderId="119" xfId="2" applyNumberFormat="1" applyFont="1" applyFill="1" applyBorder="1" applyAlignment="1">
      <alignment horizontal="right" vertical="center"/>
    </xf>
    <xf numFmtId="3" fontId="2" fillId="0" borderId="3" xfId="2" applyNumberFormat="1" applyFont="1" applyFill="1" applyBorder="1" applyAlignment="1">
      <alignment horizontal="right" vertical="center"/>
    </xf>
    <xf numFmtId="165" fontId="2" fillId="0" borderId="5" xfId="2" applyNumberFormat="1" applyFont="1" applyFill="1" applyBorder="1" applyAlignment="1">
      <alignment horizontal="right" vertical="center"/>
    </xf>
    <xf numFmtId="3" fontId="2" fillId="0" borderId="5" xfId="2" applyNumberFormat="1" applyFont="1" applyFill="1" applyBorder="1" applyAlignment="1">
      <alignment horizontal="right" vertical="center"/>
    </xf>
    <xf numFmtId="0" fontId="5" fillId="0" borderId="90" xfId="2" applyFont="1" applyFill="1" applyBorder="1" applyAlignment="1">
      <alignment horizontal="center" vertical="center" wrapText="1"/>
    </xf>
    <xf numFmtId="0" fontId="3" fillId="10" borderId="28" xfId="2" applyFont="1" applyFill="1" applyBorder="1" applyAlignment="1">
      <alignment horizontal="left" vertical="center" wrapText="1"/>
    </xf>
    <xf numFmtId="0" fontId="6" fillId="10" borderId="56" xfId="2" applyFont="1" applyFill="1" applyBorder="1" applyAlignment="1">
      <alignment horizontal="center" vertical="center" wrapText="1"/>
    </xf>
    <xf numFmtId="4" fontId="4" fillId="10" borderId="26" xfId="2" applyNumberFormat="1" applyFont="1" applyFill="1" applyBorder="1" applyAlignment="1">
      <alignment horizontal="right" vertical="center"/>
    </xf>
    <xf numFmtId="3" fontId="4" fillId="10" borderId="28" xfId="2" applyNumberFormat="1" applyFont="1" applyFill="1" applyBorder="1" applyAlignment="1">
      <alignment horizontal="right" vertical="center"/>
    </xf>
    <xf numFmtId="3" fontId="4" fillId="10" borderId="27" xfId="2" applyNumberFormat="1" applyFont="1" applyFill="1" applyBorder="1" applyAlignment="1">
      <alignment horizontal="right" vertical="center"/>
    </xf>
    <xf numFmtId="3" fontId="2" fillId="10" borderId="26" xfId="2" applyNumberFormat="1" applyFont="1" applyFill="1" applyBorder="1" applyAlignment="1">
      <alignment horizontal="right" vertical="center"/>
    </xf>
    <xf numFmtId="165" fontId="2" fillId="10" borderId="28" xfId="2" applyNumberFormat="1" applyFont="1" applyFill="1" applyBorder="1" applyAlignment="1">
      <alignment horizontal="right" vertical="center"/>
    </xf>
    <xf numFmtId="3" fontId="2" fillId="10" borderId="28" xfId="2" applyNumberFormat="1" applyFont="1" applyFill="1" applyBorder="1" applyAlignment="1">
      <alignment horizontal="right" vertical="center"/>
    </xf>
    <xf numFmtId="0" fontId="22" fillId="4" borderId="4" xfId="2" applyFont="1" applyFill="1" applyBorder="1" applyAlignment="1">
      <alignment horizontal="left" vertical="center"/>
    </xf>
    <xf numFmtId="0" fontId="7" fillId="4" borderId="55" xfId="2" applyFont="1" applyFill="1" applyBorder="1" applyAlignment="1">
      <alignment horizontal="left" vertical="center"/>
    </xf>
    <xf numFmtId="4" fontId="22" fillId="4" borderId="21" xfId="2" applyNumberFormat="1" applyFont="1" applyFill="1" applyBorder="1" applyAlignment="1">
      <alignment horizontal="right" vertical="center"/>
    </xf>
    <xf numFmtId="3" fontId="22" fillId="4" borderId="4" xfId="2" applyNumberFormat="1" applyFont="1" applyFill="1" applyBorder="1" applyAlignment="1">
      <alignment horizontal="right" vertical="center"/>
    </xf>
    <xf numFmtId="3" fontId="22" fillId="4" borderId="23" xfId="2" applyNumberFormat="1" applyFont="1" applyFill="1" applyBorder="1" applyAlignment="1">
      <alignment horizontal="right" vertical="center"/>
    </xf>
    <xf numFmtId="3" fontId="3" fillId="4" borderId="21" xfId="2" applyNumberFormat="1" applyFont="1" applyFill="1" applyBorder="1" applyAlignment="1">
      <alignment horizontal="right" vertical="center"/>
    </xf>
    <xf numFmtId="165" fontId="3" fillId="4" borderId="4" xfId="2" applyNumberFormat="1" applyFont="1" applyFill="1" applyBorder="1" applyAlignment="1">
      <alignment horizontal="right" vertical="center"/>
    </xf>
    <xf numFmtId="3" fontId="3" fillId="4" borderId="4" xfId="2" applyNumberFormat="1" applyFont="1" applyFill="1" applyBorder="1" applyAlignment="1">
      <alignment horizontal="right" vertical="center"/>
    </xf>
    <xf numFmtId="0" fontId="39" fillId="0" borderId="4" xfId="2" applyFont="1" applyFill="1" applyBorder="1" applyAlignment="1">
      <alignment vertical="top"/>
    </xf>
    <xf numFmtId="4" fontId="15" fillId="0" borderId="21" xfId="2" applyNumberFormat="1" applyFont="1" applyFill="1" applyBorder="1" applyAlignment="1">
      <alignment horizontal="right" vertical="center"/>
    </xf>
    <xf numFmtId="3" fontId="15" fillId="0" borderId="4" xfId="2" applyNumberFormat="1" applyFont="1" applyFill="1" applyBorder="1" applyAlignment="1">
      <alignment horizontal="right" vertical="center"/>
    </xf>
    <xf numFmtId="3" fontId="15" fillId="0" borderId="23" xfId="2" applyNumberFormat="1" applyFont="1" applyFill="1" applyBorder="1" applyAlignment="1">
      <alignment horizontal="right" vertical="center"/>
    </xf>
    <xf numFmtId="3" fontId="15" fillId="0" borderId="21" xfId="2" applyNumberFormat="1" applyFont="1" applyFill="1" applyBorder="1" applyAlignment="1">
      <alignment horizontal="right" vertical="center"/>
    </xf>
    <xf numFmtId="165" fontId="15" fillId="0" borderId="4" xfId="2" applyNumberFormat="1" applyFont="1" applyFill="1" applyBorder="1" applyAlignment="1">
      <alignment horizontal="right" vertical="center"/>
    </xf>
    <xf numFmtId="0" fontId="2" fillId="0" borderId="4" xfId="2" applyFont="1" applyFill="1" applyBorder="1" applyAlignment="1">
      <alignment vertical="top"/>
    </xf>
    <xf numFmtId="4" fontId="4" fillId="0" borderId="21" xfId="2" applyNumberFormat="1" applyFont="1" applyFill="1" applyBorder="1" applyAlignment="1">
      <alignment vertical="top"/>
    </xf>
    <xf numFmtId="3" fontId="4" fillId="0" borderId="4" xfId="2" applyNumberFormat="1" applyFont="1" applyFill="1" applyBorder="1" applyAlignment="1">
      <alignment vertical="top"/>
    </xf>
    <xf numFmtId="3" fontId="4" fillId="0" borderId="23" xfId="2" applyNumberFormat="1" applyFont="1" applyFill="1" applyBorder="1" applyAlignment="1">
      <alignment vertical="top"/>
    </xf>
    <xf numFmtId="3" fontId="2" fillId="0" borderId="21" xfId="2" applyNumberFormat="1" applyFont="1" applyFill="1" applyBorder="1" applyAlignment="1">
      <alignment vertical="top"/>
    </xf>
    <xf numFmtId="165" fontId="2" fillId="0" borderId="4" xfId="2" applyNumberFormat="1" applyFont="1" applyFill="1" applyBorder="1" applyAlignment="1">
      <alignment vertical="top"/>
    </xf>
    <xf numFmtId="3" fontId="2" fillId="0" borderId="4" xfId="2" applyNumberFormat="1" applyFont="1" applyFill="1" applyBorder="1" applyAlignment="1">
      <alignment vertical="top"/>
    </xf>
    <xf numFmtId="0" fontId="6" fillId="0" borderId="3" xfId="2" applyFont="1" applyFill="1" applyBorder="1" applyAlignment="1">
      <alignment horizontal="center" vertical="top"/>
    </xf>
    <xf numFmtId="0" fontId="3" fillId="9" borderId="20" xfId="2" applyFont="1" applyFill="1" applyBorder="1" applyAlignment="1">
      <alignment horizontal="left" vertical="center" wrapText="1"/>
    </xf>
    <xf numFmtId="0" fontId="6" fillId="9" borderId="81" xfId="2" applyFont="1" applyFill="1" applyBorder="1" applyAlignment="1">
      <alignment horizontal="center" vertical="center" wrapText="1"/>
    </xf>
    <xf numFmtId="3" fontId="4" fillId="9" borderId="20" xfId="2" applyNumberFormat="1" applyFont="1" applyFill="1" applyBorder="1" applyAlignment="1">
      <alignment horizontal="right" vertical="center"/>
    </xf>
    <xf numFmtId="3" fontId="4" fillId="9" borderId="34" xfId="2" applyNumberFormat="1" applyFont="1" applyFill="1" applyBorder="1" applyAlignment="1">
      <alignment horizontal="right" vertical="center"/>
    </xf>
    <xf numFmtId="165" fontId="2" fillId="9" borderId="58" xfId="2" applyNumberFormat="1" applyFont="1" applyFill="1" applyBorder="1" applyAlignment="1">
      <alignment horizontal="right" vertical="center"/>
    </xf>
    <xf numFmtId="3" fontId="2" fillId="9" borderId="20" xfId="2" applyNumberFormat="1" applyFont="1" applyFill="1" applyBorder="1" applyAlignment="1">
      <alignment horizontal="right" vertical="center"/>
    </xf>
    <xf numFmtId="3" fontId="7" fillId="4" borderId="95" xfId="2" applyNumberFormat="1" applyFont="1" applyFill="1" applyBorder="1" applyAlignment="1">
      <alignment vertical="center"/>
    </xf>
    <xf numFmtId="4" fontId="22" fillId="4" borderId="61" xfId="1" applyNumberFormat="1" applyFont="1" applyFill="1" applyBorder="1" applyAlignment="1">
      <alignment vertical="center"/>
    </xf>
    <xf numFmtId="43" fontId="22" fillId="4" borderId="7" xfId="1" applyFont="1" applyFill="1" applyBorder="1" applyAlignment="1">
      <alignment vertical="center"/>
    </xf>
    <xf numFmtId="4" fontId="15" fillId="0" borderId="67" xfId="1" applyNumberFormat="1" applyFont="1" applyFill="1" applyBorder="1" applyAlignment="1">
      <alignment horizontal="right" vertical="center"/>
    </xf>
    <xf numFmtId="43" fontId="15" fillId="0" borderId="68" xfId="1" applyFont="1" applyFill="1" applyBorder="1" applyAlignment="1">
      <alignment horizontal="right" vertical="center"/>
    </xf>
    <xf numFmtId="43" fontId="15" fillId="0" borderId="67" xfId="1" applyFont="1" applyFill="1" applyBorder="1" applyAlignment="1">
      <alignment horizontal="right" vertical="center"/>
    </xf>
    <xf numFmtId="43" fontId="15" fillId="0" borderId="13" xfId="1" applyFont="1" applyFill="1" applyBorder="1" applyAlignment="1">
      <alignment horizontal="right" vertical="center"/>
    </xf>
    <xf numFmtId="0" fontId="2" fillId="0" borderId="20" xfId="2" applyFont="1" applyFill="1" applyBorder="1" applyAlignment="1">
      <alignment vertical="top"/>
    </xf>
    <xf numFmtId="4" fontId="4" fillId="0" borderId="57" xfId="1" applyNumberFormat="1" applyFont="1" applyFill="1" applyBorder="1" applyAlignment="1">
      <alignment vertical="top"/>
    </xf>
    <xf numFmtId="43" fontId="4" fillId="0" borderId="58" xfId="1" applyFont="1" applyFill="1" applyBorder="1" applyAlignment="1">
      <alignment vertical="top"/>
    </xf>
    <xf numFmtId="43" fontId="4" fillId="0" borderId="60" xfId="1" applyFont="1" applyFill="1" applyBorder="1" applyAlignment="1">
      <alignment vertical="top"/>
    </xf>
    <xf numFmtId="43" fontId="4" fillId="0" borderId="17" xfId="1" applyFont="1" applyFill="1" applyBorder="1" applyAlignment="1">
      <alignment vertical="top"/>
    </xf>
    <xf numFmtId="43" fontId="4" fillId="0" borderId="20" xfId="1" applyFont="1" applyFill="1" applyBorder="1" applyAlignment="1">
      <alignment vertical="top"/>
    </xf>
    <xf numFmtId="43" fontId="4" fillId="0" borderId="93" xfId="1" applyFont="1" applyFill="1" applyBorder="1" applyAlignment="1">
      <alignment vertical="top"/>
    </xf>
    <xf numFmtId="0" fontId="15" fillId="0" borderId="62" xfId="2" applyFont="1" applyFill="1" applyBorder="1" applyAlignment="1">
      <alignment horizontal="left" vertical="center"/>
    </xf>
    <xf numFmtId="4" fontId="15" fillId="0" borderId="61" xfId="1" applyNumberFormat="1" applyFont="1" applyFill="1" applyBorder="1" applyAlignment="1">
      <alignment horizontal="right" vertical="center"/>
    </xf>
    <xf numFmtId="43" fontId="15" fillId="0" borderId="94" xfId="1" applyFont="1" applyFill="1" applyBorder="1" applyAlignment="1">
      <alignment horizontal="right" vertical="center"/>
    </xf>
    <xf numFmtId="43" fontId="15" fillId="0" borderId="8" xfId="1" applyFont="1" applyFill="1" applyBorder="1" applyAlignment="1">
      <alignment horizontal="right" vertical="center"/>
    </xf>
    <xf numFmtId="43" fontId="4" fillId="0" borderId="94" xfId="1" applyFont="1" applyFill="1" applyBorder="1" applyAlignment="1">
      <alignment vertical="top"/>
    </xf>
    <xf numFmtId="43" fontId="22" fillId="4" borderId="93" xfId="1" applyFont="1" applyFill="1" applyBorder="1" applyAlignment="1">
      <alignment vertical="center"/>
    </xf>
    <xf numFmtId="43" fontId="22" fillId="4" borderId="94" xfId="1" applyFont="1" applyFill="1" applyBorder="1" applyAlignment="1">
      <alignment vertical="center"/>
    </xf>
    <xf numFmtId="4" fontId="15" fillId="0" borderId="93" xfId="1" applyNumberFormat="1" applyFont="1" applyFill="1" applyBorder="1" applyAlignment="1">
      <alignment horizontal="right" vertical="center"/>
    </xf>
    <xf numFmtId="43" fontId="15" fillId="0" borderId="91" xfId="1" applyFont="1" applyFill="1" applyBorder="1" applyAlignment="1">
      <alignment horizontal="right" vertical="center"/>
    </xf>
    <xf numFmtId="43" fontId="15" fillId="0" borderId="93" xfId="1" applyFont="1" applyFill="1" applyBorder="1" applyAlignment="1">
      <alignment horizontal="right" vertical="center"/>
    </xf>
    <xf numFmtId="0" fontId="2" fillId="0" borderId="20" xfId="2" applyFont="1" applyFill="1" applyBorder="1" applyAlignment="1">
      <alignment vertical="top" wrapText="1"/>
    </xf>
    <xf numFmtId="4" fontId="4" fillId="0" borderId="67" xfId="0" applyNumberFormat="1" applyFont="1" applyFill="1" applyBorder="1" applyAlignment="1">
      <alignment vertical="top"/>
    </xf>
    <xf numFmtId="3" fontId="4" fillId="0" borderId="68" xfId="2" applyNumberFormat="1" applyFont="1" applyFill="1" applyBorder="1" applyAlignment="1">
      <alignment vertical="top"/>
    </xf>
    <xf numFmtId="0" fontId="3" fillId="10" borderId="13" xfId="2" applyFont="1" applyFill="1" applyBorder="1" applyAlignment="1">
      <alignment horizontal="left" vertical="center" wrapText="1"/>
    </xf>
    <xf numFmtId="0" fontId="6" fillId="10" borderId="31" xfId="2" applyFont="1" applyFill="1" applyBorder="1" applyAlignment="1">
      <alignment horizontal="center" vertical="center" wrapText="1"/>
    </xf>
    <xf numFmtId="4" fontId="4" fillId="10" borderId="11" xfId="2" applyNumberFormat="1" applyFont="1" applyFill="1" applyBorder="1" applyAlignment="1">
      <alignment horizontal="right" vertical="center"/>
    </xf>
    <xf numFmtId="3" fontId="4" fillId="10" borderId="13" xfId="2" applyNumberFormat="1" applyFont="1" applyFill="1" applyBorder="1" applyAlignment="1">
      <alignment horizontal="right" vertical="center"/>
    </xf>
    <xf numFmtId="3" fontId="4" fillId="10" borderId="15" xfId="2" applyNumberFormat="1" applyFont="1" applyFill="1" applyBorder="1" applyAlignment="1">
      <alignment horizontal="right" vertical="center"/>
    </xf>
    <xf numFmtId="3" fontId="2" fillId="10" borderId="11" xfId="2" applyNumberFormat="1" applyFont="1" applyFill="1" applyBorder="1" applyAlignment="1">
      <alignment horizontal="right" vertical="center"/>
    </xf>
    <xf numFmtId="165" fontId="2" fillId="10" borderId="13" xfId="2" applyNumberFormat="1" applyFont="1" applyFill="1" applyBorder="1" applyAlignment="1">
      <alignment horizontal="right" vertical="center"/>
    </xf>
    <xf numFmtId="3" fontId="2" fillId="10" borderId="13" xfId="2" applyNumberFormat="1" applyFont="1" applyFill="1" applyBorder="1" applyAlignment="1">
      <alignment horizontal="right" vertical="center"/>
    </xf>
    <xf numFmtId="0" fontId="22" fillId="4" borderId="51" xfId="2" applyFont="1" applyFill="1" applyBorder="1" applyAlignment="1">
      <alignment horizontal="left" vertical="center"/>
    </xf>
    <xf numFmtId="3" fontId="7" fillId="4" borderId="16" xfId="2" applyNumberFormat="1" applyFont="1" applyFill="1" applyBorder="1" applyAlignment="1">
      <alignment vertical="center"/>
    </xf>
    <xf numFmtId="4" fontId="22" fillId="4" borderId="50" xfId="2" applyNumberFormat="1" applyFont="1" applyFill="1" applyBorder="1" applyAlignment="1">
      <alignment vertical="center"/>
    </xf>
    <xf numFmtId="3" fontId="22" fillId="4" borderId="51" xfId="2" applyNumberFormat="1" applyFont="1" applyFill="1" applyBorder="1" applyAlignment="1">
      <alignment vertical="center"/>
    </xf>
    <xf numFmtId="3" fontId="22" fillId="4" borderId="116" xfId="2" applyNumberFormat="1" applyFont="1" applyFill="1" applyBorder="1" applyAlignment="1">
      <alignment vertical="center"/>
    </xf>
    <xf numFmtId="3" fontId="22" fillId="4" borderId="50" xfId="2" applyNumberFormat="1" applyFont="1" applyFill="1" applyBorder="1" applyAlignment="1">
      <alignment vertical="center"/>
    </xf>
    <xf numFmtId="165" fontId="22" fillId="4" borderId="51" xfId="2" applyNumberFormat="1" applyFont="1" applyFill="1" applyBorder="1" applyAlignment="1">
      <alignment vertical="center"/>
    </xf>
    <xf numFmtId="0" fontId="2" fillId="0" borderId="33" xfId="2" applyFont="1" applyFill="1" applyBorder="1" applyAlignment="1">
      <alignment vertical="top"/>
    </xf>
    <xf numFmtId="4" fontId="4" fillId="0" borderId="32" xfId="2" applyNumberFormat="1" applyFont="1" applyFill="1" applyBorder="1" applyAlignment="1">
      <alignment vertical="top"/>
    </xf>
    <xf numFmtId="3" fontId="4" fillId="0" borderId="33" xfId="2" applyNumberFormat="1" applyFont="1" applyFill="1" applyBorder="1" applyAlignment="1">
      <alignment vertical="top"/>
    </xf>
    <xf numFmtId="3" fontId="4" fillId="0" borderId="106" xfId="2" applyNumberFormat="1" applyFont="1" applyFill="1" applyBorder="1" applyAlignment="1">
      <alignment vertical="top"/>
    </xf>
    <xf numFmtId="3" fontId="2" fillId="0" borderId="32" xfId="2" applyNumberFormat="1" applyFont="1" applyFill="1" applyBorder="1" applyAlignment="1">
      <alignment vertical="top"/>
    </xf>
    <xf numFmtId="165" fontId="2" fillId="0" borderId="33" xfId="2" applyNumberFormat="1" applyFont="1" applyFill="1" applyBorder="1" applyAlignment="1">
      <alignment vertical="top"/>
    </xf>
    <xf numFmtId="3" fontId="2" fillId="0" borderId="33" xfId="2" applyNumberFormat="1" applyFont="1" applyFill="1" applyBorder="1" applyAlignment="1">
      <alignment vertical="top"/>
    </xf>
    <xf numFmtId="0" fontId="15" fillId="0" borderId="51" xfId="2" applyFont="1" applyFill="1" applyBorder="1" applyAlignment="1">
      <alignment horizontal="left" vertical="center"/>
    </xf>
    <xf numFmtId="4" fontId="15" fillId="0" borderId="50" xfId="2" applyNumberFormat="1" applyFont="1" applyFill="1" applyBorder="1" applyAlignment="1">
      <alignment horizontal="right" vertical="center"/>
    </xf>
    <xf numFmtId="3" fontId="15" fillId="0" borderId="51" xfId="2" applyNumberFormat="1" applyFont="1" applyFill="1" applyBorder="1" applyAlignment="1">
      <alignment horizontal="right" vertical="center"/>
    </xf>
    <xf numFmtId="3" fontId="15" fillId="0" borderId="116" xfId="2" applyNumberFormat="1" applyFont="1" applyFill="1" applyBorder="1" applyAlignment="1">
      <alignment horizontal="right" vertical="center"/>
    </xf>
    <xf numFmtId="3" fontId="15" fillId="0" borderId="50" xfId="2" applyNumberFormat="1" applyFont="1" applyFill="1" applyBorder="1" applyAlignment="1">
      <alignment horizontal="right" vertical="center"/>
    </xf>
    <xf numFmtId="165" fontId="15" fillId="0" borderId="51" xfId="2" applyNumberFormat="1" applyFont="1" applyFill="1" applyBorder="1" applyAlignment="1">
      <alignment horizontal="right" vertical="center"/>
    </xf>
    <xf numFmtId="3" fontId="7" fillId="4" borderId="55" xfId="2" applyNumberFormat="1" applyFont="1" applyFill="1" applyBorder="1" applyAlignment="1">
      <alignment vertical="center"/>
    </xf>
    <xf numFmtId="4" fontId="22" fillId="4" borderId="21" xfId="2" applyNumberFormat="1" applyFont="1" applyFill="1" applyBorder="1" applyAlignment="1">
      <alignment vertical="center"/>
    </xf>
    <xf numFmtId="3" fontId="22" fillId="4" borderId="4" xfId="2" applyNumberFormat="1" applyFont="1" applyFill="1" applyBorder="1" applyAlignment="1">
      <alignment vertical="center"/>
    </xf>
    <xf numFmtId="3" fontId="22" fillId="4" borderId="23" xfId="2" applyNumberFormat="1" applyFont="1" applyFill="1" applyBorder="1" applyAlignment="1">
      <alignment vertical="center"/>
    </xf>
    <xf numFmtId="3" fontId="22" fillId="4" borderId="21" xfId="2" applyNumberFormat="1" applyFont="1" applyFill="1" applyBorder="1" applyAlignment="1">
      <alignment vertical="center"/>
    </xf>
    <xf numFmtId="165" fontId="22" fillId="4" borderId="4" xfId="2" applyNumberFormat="1" applyFont="1" applyFill="1" applyBorder="1" applyAlignment="1">
      <alignment vertical="center"/>
    </xf>
    <xf numFmtId="0" fontId="15" fillId="0" borderId="4" xfId="2" applyFont="1" applyFill="1" applyBorder="1" applyAlignment="1">
      <alignment horizontal="left" vertical="center"/>
    </xf>
    <xf numFmtId="4" fontId="4" fillId="0" borderId="3" xfId="2" applyNumberFormat="1" applyFont="1" applyFill="1" applyBorder="1" applyAlignment="1">
      <alignment vertical="top"/>
    </xf>
    <xf numFmtId="3" fontId="4" fillId="0" borderId="5" xfId="2" applyNumberFormat="1" applyFont="1" applyFill="1" applyBorder="1" applyAlignment="1">
      <alignment vertical="top"/>
    </xf>
    <xf numFmtId="3" fontId="4" fillId="0" borderId="119" xfId="2" applyNumberFormat="1" applyFont="1" applyFill="1" applyBorder="1" applyAlignment="1">
      <alignment vertical="top"/>
    </xf>
    <xf numFmtId="3" fontId="2" fillId="0" borderId="3" xfId="2" applyNumberFormat="1" applyFont="1" applyFill="1" applyBorder="1" applyAlignment="1">
      <alignment vertical="top"/>
    </xf>
    <xf numFmtId="165" fontId="2" fillId="0" borderId="5" xfId="2" applyNumberFormat="1" applyFont="1" applyFill="1" applyBorder="1" applyAlignment="1">
      <alignment vertical="top"/>
    </xf>
    <xf numFmtId="3" fontId="2" fillId="0" borderId="5" xfId="2" applyNumberFormat="1" applyFont="1" applyFill="1" applyBorder="1" applyAlignment="1">
      <alignment vertical="top"/>
    </xf>
    <xf numFmtId="0" fontId="3" fillId="8" borderId="58" xfId="2" applyFont="1" applyFill="1" applyBorder="1" applyAlignment="1">
      <alignment horizontal="left" vertical="top" wrapText="1"/>
    </xf>
    <xf numFmtId="3" fontId="2" fillId="0" borderId="93" xfId="2" applyNumberFormat="1" applyFont="1" applyFill="1" applyBorder="1" applyAlignment="1">
      <alignment horizontal="right" vertical="center"/>
    </xf>
    <xf numFmtId="43" fontId="2" fillId="0" borderId="94" xfId="1" applyFont="1" applyFill="1" applyBorder="1" applyAlignment="1">
      <alignment horizontal="right" vertical="center"/>
    </xf>
    <xf numFmtId="4" fontId="1" fillId="0" borderId="134" xfId="0" applyNumberFormat="1" applyFont="1" applyBorder="1"/>
    <xf numFmtId="3" fontId="4" fillId="0" borderId="94" xfId="2" applyNumberFormat="1" applyFont="1" applyFill="1" applyBorder="1" applyAlignment="1">
      <alignment vertical="top"/>
    </xf>
    <xf numFmtId="3" fontId="4" fillId="0" borderId="91" xfId="2" applyNumberFormat="1" applyFont="1" applyFill="1" applyBorder="1" applyAlignment="1">
      <alignment vertical="top"/>
    </xf>
    <xf numFmtId="3" fontId="4" fillId="0" borderId="93" xfId="2" applyNumberFormat="1" applyFont="1" applyFill="1" applyBorder="1" applyAlignment="1">
      <alignment vertical="top"/>
    </xf>
    <xf numFmtId="0" fontId="1" fillId="0" borderId="134" xfId="0" applyFont="1" applyBorder="1"/>
    <xf numFmtId="0" fontId="1" fillId="0" borderId="118" xfId="0" applyFont="1" applyBorder="1"/>
    <xf numFmtId="0" fontId="6" fillId="8" borderId="58" xfId="2" applyFont="1" applyFill="1" applyBorder="1" applyAlignment="1">
      <alignment horizontal="center" vertical="center" wrapText="1"/>
    </xf>
    <xf numFmtId="43" fontId="39" fillId="2" borderId="64" xfId="1" applyFont="1" applyFill="1" applyBorder="1" applyAlignment="1"/>
    <xf numFmtId="43" fontId="39" fillId="2" borderId="66" xfId="1" applyFont="1" applyFill="1" applyBorder="1" applyAlignment="1"/>
    <xf numFmtId="0" fontId="39" fillId="0" borderId="64" xfId="2" applyFont="1" applyFill="1" applyBorder="1" applyAlignment="1">
      <alignment horizontal="left" vertical="center"/>
    </xf>
    <xf numFmtId="0" fontId="2" fillId="0" borderId="70" xfId="2" applyFont="1" applyFill="1" applyBorder="1" applyAlignment="1">
      <alignment vertical="top" wrapText="1"/>
    </xf>
    <xf numFmtId="3" fontId="15" fillId="2" borderId="128" xfId="0" quotePrefix="1" applyNumberFormat="1" applyFont="1" applyFill="1" applyBorder="1" applyAlignment="1">
      <alignment vertical="center"/>
    </xf>
    <xf numFmtId="0" fontId="16" fillId="0" borderId="7" xfId="0" applyFont="1" applyBorder="1" applyAlignment="1">
      <alignment vertical="top"/>
    </xf>
    <xf numFmtId="0" fontId="15" fillId="0" borderId="111" xfId="0" applyFont="1" applyBorder="1" applyAlignment="1">
      <alignment horizontal="left" vertical="top"/>
    </xf>
    <xf numFmtId="0" fontId="27" fillId="0" borderId="112" xfId="0" quotePrefix="1" applyFont="1" applyBorder="1" applyAlignment="1">
      <alignment horizontal="center" vertical="top"/>
    </xf>
    <xf numFmtId="43" fontId="15" fillId="2" borderId="113" xfId="1" quotePrefix="1" applyFont="1" applyFill="1" applyBorder="1" applyAlignment="1">
      <alignment vertical="top"/>
    </xf>
    <xf numFmtId="43" fontId="15" fillId="2" borderId="115" xfId="1" quotePrefix="1" applyFont="1" applyFill="1" applyBorder="1" applyAlignment="1">
      <alignment vertical="top"/>
    </xf>
    <xf numFmtId="0" fontId="15" fillId="0" borderId="33" xfId="0" applyFont="1" applyBorder="1" applyAlignment="1">
      <alignment horizontal="left" vertical="top"/>
    </xf>
    <xf numFmtId="0" fontId="27" fillId="0" borderId="105" xfId="0" quotePrefix="1" applyFont="1" applyBorder="1" applyAlignment="1">
      <alignment horizontal="center" vertical="top"/>
    </xf>
    <xf numFmtId="43" fontId="22" fillId="0" borderId="33" xfId="1" applyFont="1" applyFill="1" applyBorder="1" applyAlignment="1">
      <alignment vertical="top"/>
    </xf>
    <xf numFmtId="3" fontId="3" fillId="4" borderId="101" xfId="2" applyNumberFormat="1" applyFont="1" applyFill="1" applyBorder="1" applyAlignment="1"/>
    <xf numFmtId="3" fontId="22" fillId="4" borderId="60" xfId="2" applyNumberFormat="1" applyFont="1" applyFill="1" applyBorder="1" applyAlignment="1"/>
    <xf numFmtId="3" fontId="3" fillId="4" borderId="60" xfId="2" applyNumberFormat="1" applyFont="1" applyFill="1" applyBorder="1" applyAlignment="1"/>
    <xf numFmtId="3" fontId="22" fillId="4" borderId="57" xfId="2" applyNumberFormat="1" applyFont="1" applyFill="1" applyBorder="1" applyAlignment="1"/>
    <xf numFmtId="165" fontId="3" fillId="4" borderId="58" xfId="2" applyNumberFormat="1" applyFont="1" applyFill="1" applyBorder="1" applyAlignment="1"/>
    <xf numFmtId="43" fontId="22" fillId="24" borderId="80" xfId="1" applyFont="1" applyFill="1" applyBorder="1" applyAlignment="1">
      <alignment vertical="top"/>
    </xf>
    <xf numFmtId="3" fontId="3" fillId="4" borderId="58" xfId="2" applyNumberFormat="1" applyFont="1" applyFill="1" applyBorder="1" applyAlignment="1"/>
    <xf numFmtId="165" fontId="15" fillId="6" borderId="62" xfId="2" applyNumberFormat="1" applyFont="1" applyFill="1" applyBorder="1" applyAlignment="1">
      <alignment vertical="top"/>
    </xf>
    <xf numFmtId="43" fontId="4" fillId="6" borderId="61" xfId="1" applyFont="1" applyFill="1" applyBorder="1" applyAlignment="1">
      <alignment vertical="top"/>
    </xf>
    <xf numFmtId="43" fontId="22" fillId="24" borderId="64" xfId="1" applyFont="1" applyFill="1" applyBorder="1" applyAlignment="1">
      <alignment vertical="top"/>
    </xf>
    <xf numFmtId="0" fontId="2" fillId="6" borderId="68" xfId="2" applyFont="1" applyFill="1" applyBorder="1" applyAlignment="1">
      <alignment vertical="top"/>
    </xf>
    <xf numFmtId="3" fontId="4" fillId="6" borderId="72" xfId="2" applyNumberFormat="1" applyFont="1" applyFill="1" applyBorder="1" applyAlignment="1">
      <alignment vertical="top"/>
    </xf>
    <xf numFmtId="3" fontId="4" fillId="6" borderId="70" xfId="2" applyNumberFormat="1" applyFont="1" applyFill="1" applyBorder="1" applyAlignment="1">
      <alignment vertical="top"/>
    </xf>
    <xf numFmtId="3" fontId="4" fillId="6" borderId="67" xfId="2" applyNumberFormat="1" applyFont="1" applyFill="1" applyBorder="1" applyAlignment="1">
      <alignment vertical="top"/>
    </xf>
    <xf numFmtId="165" fontId="2" fillId="6" borderId="70" xfId="2" applyNumberFormat="1" applyFont="1" applyFill="1" applyBorder="1" applyAlignment="1">
      <alignment vertical="top"/>
    </xf>
    <xf numFmtId="3" fontId="4" fillId="6" borderId="68" xfId="2" applyNumberFormat="1" applyFont="1" applyFill="1" applyBorder="1" applyAlignment="1">
      <alignment vertical="top"/>
    </xf>
    <xf numFmtId="3" fontId="4" fillId="8" borderId="125" xfId="2" applyNumberFormat="1" applyFont="1" applyFill="1" applyBorder="1" applyAlignment="1">
      <alignment horizontal="right" vertical="center"/>
    </xf>
    <xf numFmtId="3" fontId="6" fillId="4" borderId="62" xfId="2" applyNumberFormat="1" applyFont="1" applyFill="1" applyBorder="1" applyAlignment="1"/>
    <xf numFmtId="43" fontId="39" fillId="2" borderId="65" xfId="1" applyFont="1" applyFill="1" applyBorder="1" applyAlignment="1"/>
    <xf numFmtId="0" fontId="2" fillId="0" borderId="70" xfId="2" applyFont="1" applyFill="1" applyBorder="1" applyAlignment="1">
      <alignment vertical="top"/>
    </xf>
    <xf numFmtId="0" fontId="5" fillId="0" borderId="40" xfId="0" applyFont="1" applyBorder="1" applyAlignment="1">
      <alignment vertical="top"/>
    </xf>
    <xf numFmtId="0" fontId="26" fillId="0" borderId="19" xfId="0" applyFont="1" applyFill="1" applyBorder="1" applyAlignment="1">
      <alignment horizontal="left"/>
    </xf>
    <xf numFmtId="0" fontId="31" fillId="2" borderId="87" xfId="0" applyFont="1" applyFill="1" applyBorder="1" applyAlignment="1">
      <alignment horizontal="right" vertical="center"/>
    </xf>
    <xf numFmtId="0" fontId="16" fillId="0" borderId="31" xfId="0" quotePrefix="1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2" borderId="6" xfId="0" quotePrefix="1" applyFont="1" applyFill="1" applyBorder="1" applyAlignment="1">
      <alignment horizontal="center" vertical="top"/>
    </xf>
    <xf numFmtId="0" fontId="16" fillId="0" borderId="7" xfId="0" applyFont="1" applyBorder="1" applyAlignment="1">
      <alignment horizontal="center" vertical="center"/>
    </xf>
    <xf numFmtId="165" fontId="39" fillId="0" borderId="115" xfId="2" applyNumberFormat="1" applyFont="1" applyFill="1" applyBorder="1" applyAlignment="1">
      <alignment horizontal="right" vertical="center"/>
    </xf>
    <xf numFmtId="0" fontId="16" fillId="2" borderId="6" xfId="0" quotePrefix="1" applyFont="1" applyFill="1" applyBorder="1" applyAlignment="1">
      <alignment horizontal="center" vertical="center"/>
    </xf>
    <xf numFmtId="3" fontId="15" fillId="2" borderId="30" xfId="0" quotePrefix="1" applyNumberFormat="1" applyFont="1" applyFill="1" applyBorder="1" applyAlignment="1">
      <alignment vertical="center"/>
    </xf>
    <xf numFmtId="3" fontId="15" fillId="2" borderId="56" xfId="0" quotePrefix="1" applyNumberFormat="1" applyFont="1" applyFill="1" applyBorder="1" applyAlignment="1">
      <alignment vertical="center"/>
    </xf>
    <xf numFmtId="165" fontId="39" fillId="0" borderId="106" xfId="2" applyNumberFormat="1" applyFont="1" applyFill="1" applyBorder="1" applyAlignment="1">
      <alignment horizontal="right" vertical="center"/>
    </xf>
    <xf numFmtId="0" fontId="22" fillId="4" borderId="20" xfId="2" applyFont="1" applyFill="1" applyBorder="1" applyAlignment="1">
      <alignment horizontal="left" vertical="center"/>
    </xf>
    <xf numFmtId="0" fontId="7" fillId="4" borderId="81" xfId="2" applyFont="1" applyFill="1" applyBorder="1" applyAlignment="1">
      <alignment horizontal="left" vertical="center"/>
    </xf>
    <xf numFmtId="3" fontId="3" fillId="4" borderId="40" xfId="2" applyNumberFormat="1" applyFont="1" applyFill="1" applyBorder="1" applyAlignment="1">
      <alignment horizontal="right" vertical="center"/>
    </xf>
    <xf numFmtId="3" fontId="3" fillId="4" borderId="81" xfId="2" applyNumberFormat="1" applyFont="1" applyFill="1" applyBorder="1" applyAlignment="1">
      <alignment horizontal="right" vertical="center"/>
    </xf>
    <xf numFmtId="165" fontId="3" fillId="4" borderId="60" xfId="0" applyNumberFormat="1" applyFont="1" applyFill="1" applyBorder="1" applyAlignment="1">
      <alignment vertical="center"/>
    </xf>
    <xf numFmtId="3" fontId="39" fillId="6" borderId="117" xfId="2" applyNumberFormat="1" applyFont="1" applyFill="1" applyBorder="1" applyAlignment="1">
      <alignment horizontal="right" vertical="center"/>
    </xf>
    <xf numFmtId="165" fontId="39" fillId="6" borderId="10" xfId="2" applyNumberFormat="1" applyFont="1" applyFill="1" applyBorder="1" applyAlignment="1">
      <alignment vertical="center"/>
    </xf>
    <xf numFmtId="3" fontId="39" fillId="6" borderId="77" xfId="2" applyNumberFormat="1" applyFont="1" applyFill="1" applyBorder="1" applyAlignment="1">
      <alignment horizontal="right" vertical="center"/>
    </xf>
    <xf numFmtId="3" fontId="39" fillId="6" borderId="80" xfId="2" applyNumberFormat="1" applyFont="1" applyFill="1" applyBorder="1" applyAlignment="1">
      <alignment horizontal="right" vertical="center"/>
    </xf>
    <xf numFmtId="3" fontId="2" fillId="6" borderId="63" xfId="2" applyNumberFormat="1" applyFont="1" applyFill="1" applyBorder="1" applyAlignment="1">
      <alignment horizontal="right" vertical="center"/>
    </xf>
    <xf numFmtId="165" fontId="2" fillId="6" borderId="64" xfId="2" applyNumberFormat="1" applyFont="1" applyFill="1" applyBorder="1" applyAlignment="1">
      <alignment horizontal="right" vertical="center"/>
    </xf>
    <xf numFmtId="3" fontId="39" fillId="6" borderId="47" xfId="2" applyNumberFormat="1" applyFont="1" applyFill="1" applyBorder="1" applyAlignment="1">
      <alignment horizontal="right" vertical="center"/>
    </xf>
    <xf numFmtId="3" fontId="39" fillId="6" borderId="8" xfId="2" applyNumberFormat="1" applyFont="1" applyFill="1" applyBorder="1" applyAlignment="1">
      <alignment horizontal="right" vertical="center"/>
    </xf>
    <xf numFmtId="165" fontId="39" fillId="6" borderId="91" xfId="2" applyNumberFormat="1" applyFont="1" applyFill="1" applyBorder="1" applyAlignment="1">
      <alignment horizontal="right" vertical="center"/>
    </xf>
    <xf numFmtId="165" fontId="39" fillId="6" borderId="94" xfId="2" applyNumberFormat="1" applyFont="1" applyFill="1" applyBorder="1" applyAlignment="1">
      <alignment horizontal="right" vertical="center"/>
    </xf>
    <xf numFmtId="3" fontId="39" fillId="6" borderId="10" xfId="2" applyNumberFormat="1" applyFont="1" applyFill="1" applyBorder="1" applyAlignment="1">
      <alignment horizontal="right" vertical="center"/>
    </xf>
    <xf numFmtId="0" fontId="2" fillId="6" borderId="8" xfId="2" applyFont="1" applyFill="1" applyBorder="1" applyAlignment="1">
      <alignment vertical="top" wrapText="1"/>
    </xf>
    <xf numFmtId="3" fontId="1" fillId="6" borderId="71" xfId="3" applyNumberFormat="1" applyFont="1" applyFill="1" applyBorder="1" applyAlignment="1">
      <alignment vertical="center"/>
    </xf>
    <xf numFmtId="3" fontId="1" fillId="6" borderId="62" xfId="3" applyNumberFormat="1" applyFont="1" applyFill="1" applyBorder="1" applyAlignment="1">
      <alignment vertical="center"/>
    </xf>
    <xf numFmtId="3" fontId="1" fillId="6" borderId="63" xfId="3" applyNumberFormat="1" applyFont="1" applyFill="1" applyBorder="1" applyAlignment="1">
      <alignment vertical="center"/>
    </xf>
    <xf numFmtId="165" fontId="1" fillId="6" borderId="64" xfId="3" applyNumberFormat="1" applyFont="1" applyFill="1" applyBorder="1" applyAlignment="1">
      <alignment vertical="center"/>
    </xf>
    <xf numFmtId="3" fontId="3" fillId="4" borderId="47" xfId="2" applyNumberFormat="1" applyFont="1" applyFill="1" applyBorder="1" applyAlignment="1">
      <alignment horizontal="right" vertical="center"/>
    </xf>
    <xf numFmtId="3" fontId="3" fillId="4" borderId="95" xfId="2" applyNumberFormat="1" applyFont="1" applyFill="1" applyBorder="1" applyAlignment="1">
      <alignment horizontal="right" vertical="center"/>
    </xf>
    <xf numFmtId="3" fontId="29" fillId="6" borderId="117" xfId="3" applyNumberFormat="1" applyFont="1" applyFill="1" applyBorder="1" applyAlignment="1">
      <alignment vertical="center"/>
    </xf>
    <xf numFmtId="165" fontId="29" fillId="6" borderId="64" xfId="3" applyNumberFormat="1" applyFont="1" applyFill="1" applyBorder="1" applyAlignment="1">
      <alignment vertical="center"/>
    </xf>
    <xf numFmtId="3" fontId="1" fillId="6" borderId="117" xfId="3" applyNumberFormat="1" applyFont="1" applyFill="1" applyBorder="1" applyAlignment="1">
      <alignment vertical="center"/>
    </xf>
    <xf numFmtId="3" fontId="1" fillId="6" borderId="93" xfId="3" applyNumberFormat="1" applyFont="1" applyFill="1" applyBorder="1" applyAlignment="1">
      <alignment vertical="center"/>
    </xf>
    <xf numFmtId="165" fontId="1" fillId="6" borderId="91" xfId="3" applyNumberFormat="1" applyFont="1" applyFill="1" applyBorder="1" applyAlignment="1">
      <alignment vertical="center"/>
    </xf>
    <xf numFmtId="3" fontId="1" fillId="6" borderId="91" xfId="3" applyNumberFormat="1" applyFont="1" applyFill="1" applyBorder="1" applyAlignment="1">
      <alignment vertical="center"/>
    </xf>
    <xf numFmtId="0" fontId="3" fillId="8" borderId="58" xfId="0" applyFont="1" applyFill="1" applyBorder="1" applyAlignment="1">
      <alignment vertical="center" wrapText="1"/>
    </xf>
    <xf numFmtId="0" fontId="6" fillId="8" borderId="59" xfId="0" applyFont="1" applyFill="1" applyBorder="1" applyAlignment="1">
      <alignment horizontal="center" vertical="center" wrapText="1"/>
    </xf>
    <xf numFmtId="0" fontId="2" fillId="8" borderId="58" xfId="0" applyFont="1" applyFill="1" applyBorder="1" applyAlignment="1">
      <alignment vertical="top"/>
    </xf>
    <xf numFmtId="0" fontId="2" fillId="8" borderId="60" xfId="0" applyFont="1" applyFill="1" applyBorder="1" applyAlignment="1">
      <alignment vertical="top"/>
    </xf>
    <xf numFmtId="0" fontId="2" fillId="8" borderId="57" xfId="0" applyFont="1" applyFill="1" applyBorder="1" applyAlignment="1">
      <alignment vertical="top"/>
    </xf>
    <xf numFmtId="3" fontId="2" fillId="8" borderId="58" xfId="0" applyNumberFormat="1" applyFont="1" applyFill="1" applyBorder="1" applyAlignment="1">
      <alignment vertical="top"/>
    </xf>
    <xf numFmtId="0" fontId="2" fillId="2" borderId="68" xfId="2" applyFont="1" applyFill="1" applyBorder="1" applyAlignment="1">
      <alignment vertical="center" wrapText="1"/>
    </xf>
    <xf numFmtId="3" fontId="2" fillId="0" borderId="96" xfId="0" applyNumberFormat="1" applyFont="1" applyFill="1" applyBorder="1" applyAlignment="1">
      <alignment vertical="top"/>
    </xf>
    <xf numFmtId="0" fontId="2" fillId="8" borderId="59" xfId="0" applyFont="1" applyFill="1" applyBorder="1" applyAlignment="1">
      <alignment vertical="top"/>
    </xf>
    <xf numFmtId="0" fontId="2" fillId="8" borderId="98" xfId="0" applyFont="1" applyFill="1" applyBorder="1" applyAlignment="1">
      <alignment vertical="top"/>
    </xf>
    <xf numFmtId="3" fontId="2" fillId="0" borderId="66" xfId="0" applyNumberFormat="1" applyFont="1" applyFill="1" applyBorder="1" applyAlignment="1">
      <alignment vertical="top"/>
    </xf>
    <xf numFmtId="0" fontId="2" fillId="2" borderId="73" xfId="2" applyFont="1" applyFill="1" applyBorder="1" applyAlignment="1">
      <alignment vertical="top" wrapText="1"/>
    </xf>
    <xf numFmtId="3" fontId="1" fillId="0" borderId="75" xfId="3" applyNumberFormat="1" applyFont="1" applyFill="1" applyBorder="1" applyAlignment="1">
      <alignment vertical="center"/>
    </xf>
    <xf numFmtId="3" fontId="2" fillId="0" borderId="73" xfId="2" applyNumberFormat="1" applyFont="1" applyFill="1" applyBorder="1" applyAlignment="1">
      <alignment horizontal="right" vertical="center"/>
    </xf>
    <xf numFmtId="3" fontId="2" fillId="0" borderId="76" xfId="2" applyNumberFormat="1" applyFont="1" applyFill="1" applyBorder="1" applyAlignment="1">
      <alignment horizontal="right" vertical="center"/>
    </xf>
    <xf numFmtId="3" fontId="2" fillId="0" borderId="74" xfId="2" applyNumberFormat="1" applyFont="1" applyFill="1" applyBorder="1" applyAlignment="1">
      <alignment horizontal="right" vertical="center"/>
    </xf>
    <xf numFmtId="3" fontId="2" fillId="0" borderId="141" xfId="0" applyNumberFormat="1" applyFont="1" applyFill="1" applyBorder="1" applyAlignment="1">
      <alignment vertical="top"/>
    </xf>
    <xf numFmtId="165" fontId="2" fillId="2" borderId="73" xfId="2" applyNumberFormat="1" applyFont="1" applyFill="1" applyBorder="1" applyAlignment="1">
      <alignment horizontal="right" vertical="center"/>
    </xf>
    <xf numFmtId="3" fontId="2" fillId="2" borderId="73" xfId="2" applyNumberFormat="1" applyFont="1" applyFill="1" applyBorder="1" applyAlignment="1">
      <alignment horizontal="right" vertical="center"/>
    </xf>
    <xf numFmtId="0" fontId="3" fillId="8" borderId="77" xfId="0" applyFont="1" applyFill="1" applyBorder="1" applyAlignment="1">
      <alignment vertical="center" wrapText="1"/>
    </xf>
    <xf numFmtId="0" fontId="6" fillId="8" borderId="80" xfId="0" applyFont="1" applyFill="1" applyBorder="1" applyAlignment="1">
      <alignment horizontal="center" vertical="center" wrapText="1"/>
    </xf>
    <xf numFmtId="0" fontId="2" fillId="8" borderId="79" xfId="0" applyFont="1" applyFill="1" applyBorder="1" applyAlignment="1">
      <alignment vertical="top"/>
    </xf>
    <xf numFmtId="0" fontId="2" fillId="8" borderId="77" xfId="0" applyFont="1" applyFill="1" applyBorder="1" applyAlignment="1">
      <alignment vertical="top"/>
    </xf>
    <xf numFmtId="0" fontId="2" fillId="8" borderId="78" xfId="0" applyFont="1" applyFill="1" applyBorder="1" applyAlignment="1">
      <alignment vertical="top"/>
    </xf>
    <xf numFmtId="165" fontId="2" fillId="8" borderId="77" xfId="0" applyNumberFormat="1" applyFont="1" applyFill="1" applyBorder="1" applyAlignment="1">
      <alignment vertical="top"/>
    </xf>
    <xf numFmtId="3" fontId="2" fillId="8" borderId="77" xfId="0" applyNumberFormat="1" applyFont="1" applyFill="1" applyBorder="1" applyAlignment="1">
      <alignment vertical="top"/>
    </xf>
    <xf numFmtId="3" fontId="2" fillId="8" borderId="60" xfId="0" applyNumberFormat="1" applyFont="1" applyFill="1" applyBorder="1" applyAlignment="1">
      <alignment vertical="top"/>
    </xf>
    <xf numFmtId="3" fontId="3" fillId="4" borderId="63" xfId="0" applyNumberFormat="1" applyFont="1" applyFill="1" applyBorder="1" applyAlignment="1">
      <alignment vertical="top"/>
    </xf>
    <xf numFmtId="165" fontId="3" fillId="4" borderId="62" xfId="0" applyNumberFormat="1" applyFont="1" applyFill="1" applyBorder="1" applyAlignment="1">
      <alignment vertical="top"/>
    </xf>
    <xf numFmtId="3" fontId="3" fillId="0" borderId="62" xfId="0" applyNumberFormat="1" applyFont="1" applyFill="1" applyBorder="1" applyAlignment="1">
      <alignment vertical="top"/>
    </xf>
    <xf numFmtId="3" fontId="3" fillId="0" borderId="63" xfId="0" applyNumberFormat="1" applyFont="1" applyFill="1" applyBorder="1" applyAlignment="1">
      <alignment vertical="top"/>
    </xf>
    <xf numFmtId="165" fontId="3" fillId="0" borderId="62" xfId="0" applyNumberFormat="1" applyFont="1" applyFill="1" applyBorder="1" applyAlignment="1">
      <alignment vertical="top"/>
    </xf>
    <xf numFmtId="3" fontId="3" fillId="0" borderId="64" xfId="0" applyNumberFormat="1" applyFont="1" applyFill="1" applyBorder="1" applyAlignment="1">
      <alignment vertical="top"/>
    </xf>
    <xf numFmtId="0" fontId="2" fillId="0" borderId="64" xfId="0" applyFont="1" applyFill="1" applyBorder="1" applyAlignment="1">
      <alignment vertical="center"/>
    </xf>
    <xf numFmtId="3" fontId="2" fillId="0" borderId="63" xfId="0" applyNumberFormat="1" applyFont="1" applyFill="1" applyBorder="1" applyAlignment="1">
      <alignment vertical="top"/>
    </xf>
    <xf numFmtId="165" fontId="2" fillId="0" borderId="62" xfId="0" applyNumberFormat="1" applyFont="1" applyFill="1" applyBorder="1" applyAlignment="1">
      <alignment vertical="top"/>
    </xf>
    <xf numFmtId="3" fontId="3" fillId="4" borderId="65" xfId="0" applyNumberFormat="1" applyFont="1" applyFill="1" applyBorder="1" applyAlignment="1">
      <alignment vertical="top"/>
    </xf>
    <xf numFmtId="3" fontId="3" fillId="0" borderId="65" xfId="0" applyNumberFormat="1" applyFont="1" applyFill="1" applyBorder="1" applyAlignment="1">
      <alignment vertical="top"/>
    </xf>
    <xf numFmtId="0" fontId="2" fillId="0" borderId="62" xfId="0" applyFont="1" applyFill="1" applyBorder="1" applyAlignment="1">
      <alignment vertical="center"/>
    </xf>
    <xf numFmtId="3" fontId="2" fillId="0" borderId="65" xfId="0" applyNumberFormat="1" applyFont="1" applyFill="1" applyBorder="1" applyAlignment="1">
      <alignment vertical="top"/>
    </xf>
    <xf numFmtId="3" fontId="2" fillId="0" borderId="85" xfId="2" applyNumberFormat="1" applyFont="1" applyFill="1" applyBorder="1" applyAlignment="1">
      <alignment horizontal="right" vertical="center"/>
    </xf>
    <xf numFmtId="165" fontId="2" fillId="8" borderId="60" xfId="0" applyNumberFormat="1" applyFont="1" applyFill="1" applyBorder="1" applyAlignment="1">
      <alignment vertical="top"/>
    </xf>
    <xf numFmtId="43" fontId="3" fillId="0" borderId="62" xfId="1" applyFont="1" applyFill="1" applyBorder="1" applyAlignment="1">
      <alignment vertical="top"/>
    </xf>
    <xf numFmtId="43" fontId="6" fillId="4" borderId="62" xfId="1" applyFont="1" applyFill="1" applyBorder="1" applyAlignment="1"/>
    <xf numFmtId="0" fontId="4" fillId="2" borderId="70" xfId="2" applyFont="1" applyFill="1" applyBorder="1" applyAlignment="1">
      <alignment vertical="top" wrapText="1"/>
    </xf>
    <xf numFmtId="43" fontId="5" fillId="0" borderId="13" xfId="1" applyFont="1" applyFill="1" applyBorder="1" applyAlignment="1">
      <alignment horizontal="right" vertical="center"/>
    </xf>
    <xf numFmtId="3" fontId="5" fillId="0" borderId="13" xfId="2" applyNumberFormat="1" applyFont="1" applyFill="1" applyBorder="1" applyAlignment="1">
      <alignment horizontal="right" vertical="center"/>
    </xf>
    <xf numFmtId="165" fontId="2" fillId="0" borderId="68" xfId="0" applyNumberFormat="1" applyFont="1" applyFill="1" applyBorder="1" applyAlignment="1">
      <alignment vertical="top"/>
    </xf>
    <xf numFmtId="165" fontId="3" fillId="4" borderId="64" xfId="0" applyNumberFormat="1" applyFont="1" applyFill="1" applyBorder="1" applyAlignment="1">
      <alignment vertical="top"/>
    </xf>
    <xf numFmtId="165" fontId="3" fillId="0" borderId="64" xfId="0" applyNumberFormat="1" applyFont="1" applyFill="1" applyBorder="1" applyAlignment="1">
      <alignment vertical="top"/>
    </xf>
    <xf numFmtId="165" fontId="2" fillId="0" borderId="64" xfId="0" applyNumberFormat="1" applyFont="1" applyFill="1" applyBorder="1" applyAlignment="1">
      <alignment vertical="top"/>
    </xf>
    <xf numFmtId="165" fontId="3" fillId="4" borderId="64" xfId="0" applyNumberFormat="1" applyFont="1" applyFill="1" applyBorder="1" applyAlignment="1">
      <alignment horizontal="center" vertical="top"/>
    </xf>
    <xf numFmtId="165" fontId="3" fillId="0" borderId="64" xfId="0" applyNumberFormat="1" applyFont="1" applyFill="1" applyBorder="1" applyAlignment="1">
      <alignment horizontal="center" vertical="top"/>
    </xf>
    <xf numFmtId="3" fontId="2" fillId="0" borderId="15" xfId="0" applyNumberFormat="1" applyFont="1" applyFill="1" applyBorder="1" applyAlignment="1">
      <alignment vertical="top"/>
    </xf>
    <xf numFmtId="165" fontId="2" fillId="0" borderId="103" xfId="0" applyNumberFormat="1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vertical="top" wrapText="1"/>
    </xf>
    <xf numFmtId="0" fontId="8" fillId="0" borderId="19" xfId="0" applyFont="1" applyBorder="1" applyAlignment="1">
      <alignment horizontal="center" vertical="center" wrapText="1"/>
    </xf>
    <xf numFmtId="3" fontId="1" fillId="0" borderId="19" xfId="3" applyNumberFormat="1" applyFont="1" applyFill="1" applyBorder="1" applyAlignment="1">
      <alignment vertical="center"/>
    </xf>
    <xf numFmtId="43" fontId="5" fillId="0" borderId="19" xfId="1" applyFont="1" applyFill="1" applyBorder="1" applyAlignment="1">
      <alignment horizontal="right" vertical="center"/>
    </xf>
    <xf numFmtId="3" fontId="5" fillId="0" borderId="19" xfId="2" applyNumberFormat="1" applyFont="1" applyFill="1" applyBorder="1" applyAlignment="1">
      <alignment horizontal="right" vertical="center"/>
    </xf>
    <xf numFmtId="3" fontId="2" fillId="0" borderId="19" xfId="0" applyNumberFormat="1" applyFont="1" applyFill="1" applyBorder="1" applyAlignment="1">
      <alignment vertical="top"/>
    </xf>
    <xf numFmtId="165" fontId="2" fillId="0" borderId="19" xfId="0" applyNumberFormat="1" applyFont="1" applyFill="1" applyBorder="1" applyAlignment="1">
      <alignment vertical="top"/>
    </xf>
    <xf numFmtId="3" fontId="2" fillId="0" borderId="19" xfId="2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 wrapText="1"/>
    </xf>
    <xf numFmtId="0" fontId="30" fillId="16" borderId="46" xfId="0" applyFont="1" applyFill="1" applyBorder="1" applyAlignment="1">
      <alignment vertical="center"/>
    </xf>
    <xf numFmtId="0" fontId="40" fillId="16" borderId="0" xfId="0" applyFont="1" applyFill="1" applyBorder="1" applyAlignment="1">
      <alignment vertical="top"/>
    </xf>
    <xf numFmtId="0" fontId="38" fillId="16" borderId="0" xfId="0" applyFont="1" applyFill="1" applyBorder="1" applyAlignment="1">
      <alignment horizontal="center" vertical="center" wrapText="1"/>
    </xf>
    <xf numFmtId="3" fontId="40" fillId="16" borderId="0" xfId="0" applyNumberFormat="1" applyFont="1" applyFill="1" applyBorder="1" applyAlignment="1">
      <alignment vertical="top"/>
    </xf>
    <xf numFmtId="43" fontId="40" fillId="16" borderId="0" xfId="1" applyFont="1" applyFill="1" applyBorder="1" applyAlignment="1">
      <alignment vertical="top"/>
    </xf>
    <xf numFmtId="3" fontId="4" fillId="16" borderId="0" xfId="0" applyNumberFormat="1" applyFont="1" applyFill="1" applyBorder="1" applyAlignment="1">
      <alignment vertical="top"/>
    </xf>
    <xf numFmtId="0" fontId="2" fillId="16" borderId="0" xfId="0" applyFont="1" applyFill="1" applyBorder="1" applyAlignment="1">
      <alignment vertical="top"/>
    </xf>
    <xf numFmtId="165" fontId="2" fillId="16" borderId="0" xfId="0" applyNumberFormat="1" applyFont="1" applyFill="1" applyBorder="1" applyAlignment="1">
      <alignment vertical="top"/>
    </xf>
    <xf numFmtId="43" fontId="2" fillId="16" borderId="0" xfId="1" applyFont="1" applyFill="1" applyBorder="1" applyAlignment="1">
      <alignment vertical="top"/>
    </xf>
    <xf numFmtId="3" fontId="5" fillId="16" borderId="0" xfId="2" applyNumberFormat="1" applyFont="1" applyFill="1" applyBorder="1" applyAlignment="1">
      <alignment horizontal="right" vertical="center"/>
    </xf>
    <xf numFmtId="0" fontId="5" fillId="16" borderId="0" xfId="0" applyFont="1" applyFill="1" applyBorder="1" applyAlignment="1">
      <alignment horizontal="center" vertical="center" wrapText="1"/>
    </xf>
    <xf numFmtId="165" fontId="39" fillId="0" borderId="108" xfId="2" applyNumberFormat="1" applyFont="1" applyFill="1" applyBorder="1" applyAlignment="1">
      <alignment horizontal="center" vertical="center"/>
    </xf>
    <xf numFmtId="0" fontId="16" fillId="2" borderId="81" xfId="0" quotePrefix="1" applyFont="1" applyFill="1" applyBorder="1" applyAlignment="1">
      <alignment horizontal="center" vertical="top"/>
    </xf>
    <xf numFmtId="165" fontId="39" fillId="0" borderId="111" xfId="2" applyNumberFormat="1" applyFont="1" applyFill="1" applyBorder="1" applyAlignment="1">
      <alignment horizontal="center" vertical="center"/>
    </xf>
    <xf numFmtId="165" fontId="39" fillId="0" borderId="33" xfId="2" applyNumberFormat="1" applyFont="1" applyFill="1" applyBorder="1" applyAlignment="1">
      <alignment horizontal="center" vertical="center"/>
    </xf>
    <xf numFmtId="0" fontId="16" fillId="2" borderId="31" xfId="0" quotePrefix="1" applyFont="1" applyFill="1" applyBorder="1" applyAlignment="1">
      <alignment horizontal="center" vertical="center"/>
    </xf>
    <xf numFmtId="3" fontId="3" fillId="4" borderId="19" xfId="2" applyNumberFormat="1" applyFont="1" applyFill="1" applyBorder="1" applyAlignment="1">
      <alignment horizontal="right" vertical="center"/>
    </xf>
    <xf numFmtId="165" fontId="3" fillId="4" borderId="58" xfId="0" applyNumberFormat="1" applyFont="1" applyFill="1" applyBorder="1" applyAlignment="1">
      <alignment horizontal="center" vertical="center"/>
    </xf>
    <xf numFmtId="3" fontId="39" fillId="6" borderId="129" xfId="2" applyNumberFormat="1" applyFont="1" applyFill="1" applyBorder="1" applyAlignment="1">
      <alignment horizontal="right" vertical="center"/>
    </xf>
    <xf numFmtId="165" fontId="39" fillId="6" borderId="8" xfId="2" applyNumberFormat="1" applyFont="1" applyFill="1" applyBorder="1" applyAlignment="1">
      <alignment horizontal="center" vertical="center"/>
    </xf>
    <xf numFmtId="3" fontId="2" fillId="6" borderId="102" xfId="2" applyNumberFormat="1" applyFont="1" applyFill="1" applyBorder="1" applyAlignment="1">
      <alignment horizontal="right" vertical="center"/>
    </xf>
    <xf numFmtId="165" fontId="2" fillId="6" borderId="62" xfId="2" applyNumberFormat="1" applyFont="1" applyFill="1" applyBorder="1" applyAlignment="1">
      <alignment horizontal="center" vertical="center"/>
    </xf>
    <xf numFmtId="0" fontId="3" fillId="8" borderId="101" xfId="0" applyFont="1" applyFill="1" applyBorder="1" applyAlignment="1">
      <alignment vertical="center" wrapText="1"/>
    </xf>
    <xf numFmtId="0" fontId="2" fillId="8" borderId="104" xfId="0" applyFont="1" applyFill="1" applyBorder="1" applyAlignment="1">
      <alignment vertical="top"/>
    </xf>
    <xf numFmtId="0" fontId="7" fillId="4" borderId="86" xfId="2" applyFont="1" applyFill="1" applyBorder="1" applyAlignment="1">
      <alignment horizontal="left" vertical="center"/>
    </xf>
    <xf numFmtId="0" fontId="7" fillId="4" borderId="78" xfId="2" applyFont="1" applyFill="1" applyBorder="1" applyAlignment="1">
      <alignment horizontal="left" vertical="center"/>
    </xf>
    <xf numFmtId="165" fontId="3" fillId="4" borderId="62" xfId="0" applyNumberFormat="1" applyFont="1" applyFill="1" applyBorder="1" applyAlignment="1">
      <alignment horizontal="center" vertical="top"/>
    </xf>
    <xf numFmtId="3" fontId="27" fillId="2" borderId="71" xfId="2" applyNumberFormat="1" applyFont="1" applyFill="1" applyBorder="1" applyAlignment="1">
      <alignment vertical="center" wrapText="1"/>
    </xf>
    <xf numFmtId="165" fontId="3" fillId="0" borderId="62" xfId="0" applyNumberFormat="1" applyFont="1" applyFill="1" applyBorder="1" applyAlignment="1">
      <alignment horizontal="center" vertical="top"/>
    </xf>
    <xf numFmtId="3" fontId="3" fillId="0" borderId="102" xfId="0" applyNumberFormat="1" applyFont="1" applyFill="1" applyBorder="1" applyAlignment="1">
      <alignment vertical="top"/>
    </xf>
    <xf numFmtId="0" fontId="16" fillId="0" borderId="72" xfId="2" applyFont="1" applyFill="1" applyBorder="1" applyAlignment="1">
      <alignment horizontal="left" vertical="center"/>
    </xf>
    <xf numFmtId="3" fontId="2" fillId="0" borderId="85" xfId="0" applyNumberFormat="1" applyFont="1" applyFill="1" applyBorder="1" applyAlignment="1">
      <alignment vertical="top"/>
    </xf>
    <xf numFmtId="165" fontId="2" fillId="0" borderId="68" xfId="0" applyNumberFormat="1" applyFont="1" applyFill="1" applyBorder="1" applyAlignment="1">
      <alignment horizontal="center" vertical="top"/>
    </xf>
    <xf numFmtId="3" fontId="2" fillId="0" borderId="103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vertical="top" wrapText="1"/>
    </xf>
    <xf numFmtId="43" fontId="8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right" vertical="center"/>
    </xf>
    <xf numFmtId="165" fontId="5" fillId="2" borderId="0" xfId="2" applyNumberFormat="1" applyFont="1" applyFill="1" applyBorder="1" applyAlignment="1">
      <alignment horizontal="right" vertical="center"/>
    </xf>
    <xf numFmtId="3" fontId="5" fillId="2" borderId="0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15" fillId="0" borderId="135" xfId="0" applyFont="1" applyBorder="1" applyAlignment="1">
      <alignment horizontal="left" vertical="center"/>
    </xf>
    <xf numFmtId="3" fontId="10" fillId="2" borderId="114" xfId="0" quotePrefix="1" applyNumberFormat="1" applyFont="1" applyFill="1" applyBorder="1" applyAlignment="1">
      <alignment vertical="center"/>
    </xf>
    <xf numFmtId="0" fontId="25" fillId="2" borderId="6" xfId="0" quotePrefix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top"/>
    </xf>
    <xf numFmtId="0" fontId="15" fillId="0" borderId="123" xfId="0" applyFont="1" applyBorder="1" applyAlignment="1">
      <alignment horizontal="left" vertical="top"/>
    </xf>
    <xf numFmtId="3" fontId="15" fillId="2" borderId="113" xfId="0" quotePrefix="1" applyNumberFormat="1" applyFont="1" applyFill="1" applyBorder="1" applyAlignment="1">
      <alignment vertical="top"/>
    </xf>
    <xf numFmtId="3" fontId="15" fillId="2" borderId="121" xfId="0" quotePrefix="1" applyNumberFormat="1" applyFont="1" applyFill="1" applyBorder="1" applyAlignment="1">
      <alignment vertical="top"/>
    </xf>
    <xf numFmtId="3" fontId="10" fillId="0" borderId="111" xfId="2" applyNumberFormat="1" applyFont="1" applyFill="1" applyBorder="1" applyAlignment="1">
      <alignment horizontal="right" vertical="center"/>
    </xf>
    <xf numFmtId="0" fontId="25" fillId="2" borderId="6" xfId="0" quotePrefix="1" applyFont="1" applyFill="1" applyBorder="1" applyAlignment="1">
      <alignment horizontal="center" vertical="top"/>
    </xf>
    <xf numFmtId="0" fontId="25" fillId="0" borderId="26" xfId="0" applyFont="1" applyBorder="1" applyAlignment="1">
      <alignment horizontal="center" vertical="top"/>
    </xf>
    <xf numFmtId="0" fontId="15" fillId="0" borderId="25" xfId="0" applyFont="1" applyBorder="1" applyAlignment="1">
      <alignment horizontal="left" vertical="top"/>
    </xf>
    <xf numFmtId="3" fontId="15" fillId="2" borderId="30" xfId="0" quotePrefix="1" applyNumberFormat="1" applyFont="1" applyFill="1" applyBorder="1" applyAlignment="1">
      <alignment vertical="top"/>
    </xf>
    <xf numFmtId="3" fontId="15" fillId="2" borderId="1" xfId="0" quotePrefix="1" applyNumberFormat="1" applyFont="1" applyFill="1" applyBorder="1" applyAlignment="1">
      <alignment vertical="top"/>
    </xf>
    <xf numFmtId="43" fontId="39" fillId="0" borderId="27" xfId="1" applyFont="1" applyFill="1" applyBorder="1" applyAlignment="1">
      <alignment horizontal="right" vertical="center"/>
    </xf>
    <xf numFmtId="43" fontId="39" fillId="0" borderId="28" xfId="1" applyFont="1" applyFill="1" applyBorder="1" applyAlignment="1">
      <alignment horizontal="right" vertical="center"/>
    </xf>
    <xf numFmtId="3" fontId="10" fillId="0" borderId="27" xfId="2" applyNumberFormat="1" applyFont="1" applyFill="1" applyBorder="1" applyAlignment="1">
      <alignment horizontal="right" vertical="center"/>
    </xf>
    <xf numFmtId="0" fontId="25" fillId="2" borderId="56" xfId="0" quotePrefix="1" applyFont="1" applyFill="1" applyBorder="1" applyAlignment="1">
      <alignment horizontal="center" vertical="top"/>
    </xf>
    <xf numFmtId="0" fontId="22" fillId="4" borderId="9" xfId="2" applyFont="1" applyFill="1" applyBorder="1" applyAlignment="1">
      <alignment horizontal="left" vertical="center"/>
    </xf>
    <xf numFmtId="3" fontId="3" fillId="4" borderId="10" xfId="2" applyNumberFormat="1" applyFont="1" applyFill="1" applyBorder="1" applyAlignment="1">
      <alignment horizontal="right" vertical="center"/>
    </xf>
    <xf numFmtId="3" fontId="3" fillId="4" borderId="6" xfId="2" applyNumberFormat="1" applyFont="1" applyFill="1" applyBorder="1" applyAlignment="1">
      <alignment horizontal="right" vertical="center"/>
    </xf>
    <xf numFmtId="3" fontId="3" fillId="4" borderId="7" xfId="2" applyNumberFormat="1" applyFont="1" applyFill="1" applyBorder="1" applyAlignment="1">
      <alignment horizontal="right" vertical="center"/>
    </xf>
    <xf numFmtId="165" fontId="3" fillId="4" borderId="80" xfId="2" applyNumberFormat="1" applyFont="1" applyFill="1" applyBorder="1" applyAlignment="1">
      <alignment horizontal="right" vertical="center"/>
    </xf>
    <xf numFmtId="3" fontId="3" fillId="4" borderId="8" xfId="2" applyNumberFormat="1" applyFont="1" applyFill="1" applyBorder="1" applyAlignment="1">
      <alignment horizontal="right" vertical="center"/>
    </xf>
    <xf numFmtId="3" fontId="39" fillId="6" borderId="66" xfId="2" applyNumberFormat="1" applyFont="1" applyFill="1" applyBorder="1" applyAlignment="1">
      <alignment vertical="top" wrapText="1"/>
    </xf>
    <xf numFmtId="3" fontId="39" fillId="6" borderId="91" xfId="2" applyNumberFormat="1" applyFont="1" applyFill="1" applyBorder="1" applyAlignment="1">
      <alignment horizontal="right" vertical="center"/>
    </xf>
    <xf numFmtId="3" fontId="39" fillId="6" borderId="95" xfId="2" applyNumberFormat="1" applyFont="1" applyFill="1" applyBorder="1" applyAlignment="1">
      <alignment horizontal="right" vertical="center"/>
    </xf>
    <xf numFmtId="3" fontId="39" fillId="6" borderId="93" xfId="2" applyNumberFormat="1" applyFont="1" applyFill="1" applyBorder="1" applyAlignment="1">
      <alignment horizontal="right" vertical="center"/>
    </xf>
    <xf numFmtId="165" fontId="39" fillId="6" borderId="10" xfId="2" applyNumberFormat="1" applyFont="1" applyFill="1" applyBorder="1" applyAlignment="1">
      <alignment horizontal="right" vertical="center"/>
    </xf>
    <xf numFmtId="3" fontId="39" fillId="6" borderId="94" xfId="2" applyNumberFormat="1" applyFont="1" applyFill="1" applyBorder="1" applyAlignment="1">
      <alignment horizontal="right" vertical="center"/>
    </xf>
    <xf numFmtId="3" fontId="2" fillId="6" borderId="66" xfId="2" applyNumberFormat="1" applyFont="1" applyFill="1" applyBorder="1" applyAlignment="1">
      <alignment vertical="top" wrapText="1"/>
    </xf>
    <xf numFmtId="165" fontId="23" fillId="6" borderId="91" xfId="2" applyNumberFormat="1" applyFont="1" applyFill="1" applyBorder="1" applyAlignment="1">
      <alignment horizontal="right" vertical="center"/>
    </xf>
    <xf numFmtId="0" fontId="39" fillId="6" borderId="66" xfId="2" applyFont="1" applyFill="1" applyBorder="1" applyAlignment="1">
      <alignment vertical="top"/>
    </xf>
    <xf numFmtId="3" fontId="39" fillId="6" borderId="6" xfId="2" applyNumberFormat="1" applyFont="1" applyFill="1" applyBorder="1" applyAlignment="1">
      <alignment horizontal="right" vertical="center"/>
    </xf>
    <xf numFmtId="3" fontId="39" fillId="6" borderId="7" xfId="2" applyNumberFormat="1" applyFont="1" applyFill="1" applyBorder="1" applyAlignment="1">
      <alignment horizontal="right" vertical="center"/>
    </xf>
    <xf numFmtId="0" fontId="2" fillId="6" borderId="9" xfId="2" applyFont="1" applyFill="1" applyBorder="1" applyAlignment="1">
      <alignment vertical="top" wrapText="1"/>
    </xf>
    <xf numFmtId="165" fontId="23" fillId="6" borderId="62" xfId="2" applyNumberFormat="1" applyFont="1" applyFill="1" applyBorder="1" applyAlignment="1">
      <alignment horizontal="right" vertical="center"/>
    </xf>
    <xf numFmtId="3" fontId="3" fillId="4" borderId="77" xfId="2" applyNumberFormat="1" applyFont="1" applyFill="1" applyBorder="1" applyAlignment="1">
      <alignment vertical="center"/>
    </xf>
    <xf numFmtId="0" fontId="15" fillId="6" borderId="66" xfId="2" applyFont="1" applyFill="1" applyBorder="1" applyAlignment="1">
      <alignment vertical="top"/>
    </xf>
    <xf numFmtId="3" fontId="29" fillId="6" borderId="91" xfId="3" applyNumberFormat="1" applyFont="1" applyFill="1" applyBorder="1" applyAlignment="1">
      <alignment vertical="center"/>
    </xf>
    <xf numFmtId="3" fontId="29" fillId="6" borderId="95" xfId="3" applyNumberFormat="1" applyFont="1" applyFill="1" applyBorder="1" applyAlignment="1">
      <alignment vertical="center"/>
    </xf>
    <xf numFmtId="3" fontId="39" fillId="6" borderId="8" xfId="2" applyNumberFormat="1" applyFont="1" applyFill="1" applyBorder="1" applyAlignment="1">
      <alignment vertical="center"/>
    </xf>
    <xf numFmtId="3" fontId="1" fillId="6" borderId="67" xfId="3" applyNumberFormat="1" applyFont="1" applyFill="1" applyBorder="1" applyAlignment="1">
      <alignment vertical="center"/>
    </xf>
    <xf numFmtId="0" fontId="3" fillId="8" borderId="98" xfId="0" applyFont="1" applyFill="1" applyBorder="1" applyAlignment="1">
      <alignment vertical="center" wrapText="1"/>
    </xf>
    <xf numFmtId="0" fontId="5" fillId="8" borderId="60" xfId="0" applyFont="1" applyFill="1" applyBorder="1" applyAlignment="1">
      <alignment vertical="top"/>
    </xf>
    <xf numFmtId="0" fontId="3" fillId="4" borderId="66" xfId="2" applyFont="1" applyFill="1" applyBorder="1" applyAlignment="1">
      <alignment horizontal="left" vertical="center"/>
    </xf>
    <xf numFmtId="165" fontId="3" fillId="4" borderId="62" xfId="2" applyNumberFormat="1" applyFont="1" applyFill="1" applyBorder="1" applyAlignment="1">
      <alignment horizontal="right"/>
    </xf>
    <xf numFmtId="3" fontId="39" fillId="2" borderId="66" xfId="2" applyNumberFormat="1" applyFont="1" applyFill="1" applyBorder="1" applyAlignment="1">
      <alignment vertical="top" wrapText="1"/>
    </xf>
    <xf numFmtId="3" fontId="2" fillId="0" borderId="102" xfId="0" applyNumberFormat="1" applyFont="1" applyFill="1" applyBorder="1" applyAlignment="1">
      <alignment vertical="top"/>
    </xf>
    <xf numFmtId="0" fontId="39" fillId="2" borderId="66" xfId="2" applyFont="1" applyFill="1" applyBorder="1" applyAlignment="1">
      <alignment vertical="top"/>
    </xf>
    <xf numFmtId="0" fontId="2" fillId="2" borderId="66" xfId="2" applyFont="1" applyFill="1" applyBorder="1" applyAlignment="1">
      <alignment vertical="top" wrapText="1"/>
    </xf>
    <xf numFmtId="3" fontId="39" fillId="2" borderId="102" xfId="2" applyNumberFormat="1" applyFont="1" applyFill="1" applyBorder="1" applyAlignment="1"/>
    <xf numFmtId="0" fontId="2" fillId="2" borderId="96" xfId="2" applyFont="1" applyFill="1" applyBorder="1" applyAlignment="1">
      <alignment vertical="top" wrapText="1"/>
    </xf>
    <xf numFmtId="0" fontId="3" fillId="8" borderId="19" xfId="0" applyFont="1" applyFill="1" applyBorder="1" applyAlignment="1">
      <alignment vertical="center" wrapText="1"/>
    </xf>
    <xf numFmtId="0" fontId="3" fillId="4" borderId="71" xfId="2" applyFont="1" applyFill="1" applyBorder="1" applyAlignment="1">
      <alignment horizontal="left" vertical="center"/>
    </xf>
    <xf numFmtId="3" fontId="39" fillId="2" borderId="71" xfId="2" applyNumberFormat="1" applyFont="1" applyFill="1" applyBorder="1" applyAlignment="1">
      <alignment vertical="top" wrapText="1"/>
    </xf>
    <xf numFmtId="0" fontId="2" fillId="0" borderId="71" xfId="2" applyFont="1" applyFill="1" applyBorder="1" applyAlignment="1">
      <alignment vertical="top"/>
    </xf>
    <xf numFmtId="0" fontId="39" fillId="2" borderId="71" xfId="2" applyFont="1" applyFill="1" applyBorder="1" applyAlignment="1">
      <alignment vertical="top"/>
    </xf>
    <xf numFmtId="0" fontId="2" fillId="0" borderId="71" xfId="0" applyFont="1" applyFill="1" applyBorder="1" applyAlignment="1">
      <alignment horizontal="left" vertical="center" wrapText="1"/>
    </xf>
    <xf numFmtId="3" fontId="2" fillId="0" borderId="15" xfId="2" applyNumberFormat="1" applyFont="1" applyFill="1" applyBorder="1" applyAlignment="1">
      <alignment horizontal="left" vertical="center"/>
    </xf>
    <xf numFmtId="43" fontId="3" fillId="4" borderId="62" xfId="1" applyFont="1" applyFill="1" applyBorder="1" applyAlignment="1">
      <alignment horizontal="right"/>
    </xf>
    <xf numFmtId="0" fontId="6" fillId="0" borderId="44" xfId="0" applyFont="1" applyBorder="1" applyAlignment="1">
      <alignment vertical="top"/>
    </xf>
    <xf numFmtId="3" fontId="4" fillId="0" borderId="103" xfId="0" applyNumberFormat="1" applyFont="1" applyFill="1" applyBorder="1" applyAlignment="1">
      <alignment vertical="top"/>
    </xf>
    <xf numFmtId="3" fontId="15" fillId="6" borderId="102" xfId="0" applyNumberFormat="1" applyFont="1" applyFill="1" applyBorder="1" applyAlignment="1">
      <alignment vertical="top"/>
    </xf>
    <xf numFmtId="0" fontId="3" fillId="4" borderId="24" xfId="2" applyFont="1" applyFill="1" applyBorder="1" applyAlignment="1">
      <alignment horizontal="left" vertical="center"/>
    </xf>
    <xf numFmtId="3" fontId="39" fillId="2" borderId="24" xfId="2" applyNumberFormat="1" applyFont="1" applyFill="1" applyBorder="1" applyAlignment="1">
      <alignment vertical="top" wrapText="1"/>
    </xf>
    <xf numFmtId="0" fontId="2" fillId="0" borderId="24" xfId="2" applyFont="1" applyFill="1" applyBorder="1" applyAlignment="1">
      <alignment vertical="top"/>
    </xf>
    <xf numFmtId="0" fontId="39" fillId="2" borderId="24" xfId="2" applyFont="1" applyFill="1" applyBorder="1" applyAlignment="1">
      <alignment vertical="top"/>
    </xf>
    <xf numFmtId="0" fontId="2" fillId="0" borderId="152" xfId="2" applyFont="1" applyFill="1" applyBorder="1" applyAlignment="1">
      <alignment vertical="top"/>
    </xf>
    <xf numFmtId="0" fontId="3" fillId="4" borderId="29" xfId="2" applyFont="1" applyFill="1" applyBorder="1" applyAlignment="1">
      <alignment horizontal="left" vertical="center"/>
    </xf>
    <xf numFmtId="0" fontId="2" fillId="0" borderId="126" xfId="2" applyFont="1" applyFill="1" applyBorder="1" applyAlignment="1">
      <alignment vertical="center"/>
    </xf>
    <xf numFmtId="0" fontId="6" fillId="15" borderId="34" xfId="2" applyFont="1" applyFill="1" applyBorder="1" applyAlignment="1">
      <alignment horizontal="center" vertical="center" wrapText="1"/>
    </xf>
    <xf numFmtId="0" fontId="7" fillId="4" borderId="23" xfId="2" applyFont="1" applyFill="1" applyBorder="1" applyAlignment="1">
      <alignment horizontal="left" vertical="center"/>
    </xf>
    <xf numFmtId="0" fontId="1" fillId="15" borderId="40" xfId="0" applyFont="1" applyFill="1" applyBorder="1"/>
    <xf numFmtId="3" fontId="22" fillId="4" borderId="21" xfId="2" applyNumberFormat="1" applyFont="1" applyFill="1" applyBorder="1" applyAlignment="1">
      <alignment horizontal="right" vertical="center"/>
    </xf>
    <xf numFmtId="3" fontId="1" fillId="0" borderId="21" xfId="3" applyNumberFormat="1" applyFont="1" applyFill="1" applyBorder="1" applyAlignment="1">
      <alignment vertical="center"/>
    </xf>
    <xf numFmtId="3" fontId="29" fillId="0" borderId="21" xfId="3" applyNumberFormat="1" applyFont="1" applyFill="1" applyBorder="1" applyAlignment="1">
      <alignment vertical="center"/>
    </xf>
    <xf numFmtId="3" fontId="3" fillId="4" borderId="21" xfId="2" applyNumberFormat="1" applyFont="1" applyFill="1" applyBorder="1" applyAlignment="1"/>
    <xf numFmtId="3" fontId="29" fillId="0" borderId="26" xfId="3" applyNumberFormat="1" applyFont="1" applyFill="1" applyBorder="1" applyAlignment="1">
      <alignment vertical="center"/>
    </xf>
    <xf numFmtId="3" fontId="1" fillId="0" borderId="32" xfId="3" applyNumberFormat="1" applyFont="1" applyFill="1" applyBorder="1" applyAlignment="1">
      <alignment vertical="center"/>
    </xf>
    <xf numFmtId="0" fontId="22" fillId="4" borderId="30" xfId="2" applyFont="1" applyFill="1" applyBorder="1" applyAlignment="1">
      <alignment horizontal="left" vertical="center"/>
    </xf>
    <xf numFmtId="0" fontId="22" fillId="4" borderId="89" xfId="2" applyFont="1" applyFill="1" applyBorder="1" applyAlignment="1">
      <alignment horizontal="left" vertical="center"/>
    </xf>
    <xf numFmtId="0" fontId="12" fillId="2" borderId="52" xfId="2" applyFont="1" applyFill="1" applyBorder="1" applyAlignment="1">
      <alignment horizontal="center" vertical="center" wrapText="1"/>
    </xf>
    <xf numFmtId="0" fontId="12" fillId="2" borderId="53" xfId="2" applyFont="1" applyFill="1" applyBorder="1" applyAlignment="1">
      <alignment horizontal="center" vertical="center" wrapText="1"/>
    </xf>
    <xf numFmtId="0" fontId="12" fillId="2" borderId="54" xfId="2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/>
    </xf>
    <xf numFmtId="0" fontId="1" fillId="0" borderId="127" xfId="0" applyFont="1" applyBorder="1" applyAlignment="1">
      <alignment horizontal="left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8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127" xfId="0" applyFont="1" applyBorder="1" applyAlignment="1">
      <alignment horizontal="center"/>
    </xf>
    <xf numFmtId="0" fontId="15" fillId="0" borderId="47" xfId="0" applyFont="1" applyBorder="1" applyAlignment="1">
      <alignment horizontal="left" vertical="center"/>
    </xf>
    <xf numFmtId="0" fontId="15" fillId="0" borderId="88" xfId="0" applyFont="1" applyBorder="1" applyAlignment="1">
      <alignment horizontal="left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56" xfId="2" applyFont="1" applyFill="1" applyBorder="1" applyAlignment="1">
      <alignment horizontal="center" vertical="center" wrapText="1"/>
    </xf>
    <xf numFmtId="0" fontId="42" fillId="2" borderId="0" xfId="0" applyFont="1" applyFill="1" applyBorder="1" applyAlignment="1">
      <alignment horizontal="center" vertical="center" wrapText="1"/>
    </xf>
    <xf numFmtId="0" fontId="11" fillId="7" borderId="46" xfId="2" applyFont="1" applyFill="1" applyBorder="1" applyAlignment="1">
      <alignment horizontal="left" vertical="center"/>
    </xf>
    <xf numFmtId="0" fontId="1" fillId="7" borderId="92" xfId="0" applyFont="1" applyFill="1" applyBorder="1" applyAlignment="1">
      <alignment vertical="center"/>
    </xf>
    <xf numFmtId="0" fontId="11" fillId="8" borderId="40" xfId="2" applyFont="1" applyFill="1" applyBorder="1" applyAlignment="1">
      <alignment horizontal="left" vertical="center"/>
    </xf>
    <xf numFmtId="0" fontId="1" fillId="8" borderId="18" xfId="0" applyFont="1" applyFill="1" applyBorder="1" applyAlignment="1">
      <alignment vertical="center"/>
    </xf>
    <xf numFmtId="0" fontId="11" fillId="8" borderId="44" xfId="2" applyFont="1" applyFill="1" applyBorder="1" applyAlignment="1">
      <alignment horizontal="left" vertical="center"/>
    </xf>
    <xf numFmtId="0" fontId="1" fillId="8" borderId="97" xfId="0" applyFont="1" applyFill="1" applyBorder="1" applyAlignment="1">
      <alignment vertical="center"/>
    </xf>
    <xf numFmtId="0" fontId="11" fillId="7" borderId="44" xfId="2" applyFont="1" applyFill="1" applyBorder="1" applyAlignment="1">
      <alignment horizontal="left" vertical="center"/>
    </xf>
    <xf numFmtId="0" fontId="1" fillId="7" borderId="97" xfId="0" applyFont="1" applyFill="1" applyBorder="1" applyAlignment="1">
      <alignment vertical="center"/>
    </xf>
    <xf numFmtId="0" fontId="15" fillId="0" borderId="44" xfId="0" applyFont="1" applyBorder="1" applyAlignment="1">
      <alignment horizontal="left" vertical="center"/>
    </xf>
    <xf numFmtId="0" fontId="15" fillId="0" borderId="97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top"/>
    </xf>
    <xf numFmtId="0" fontId="15" fillId="0" borderId="87" xfId="0" applyFont="1" applyBorder="1" applyAlignment="1">
      <alignment horizontal="left" vertical="top"/>
    </xf>
    <xf numFmtId="0" fontId="3" fillId="0" borderId="5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25" fillId="0" borderId="56" xfId="2" applyFont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26" xfId="2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right"/>
    </xf>
    <xf numFmtId="0" fontId="33" fillId="2" borderId="0" xfId="0" applyFont="1" applyFill="1" applyBorder="1" applyAlignment="1">
      <alignment horizontal="center" wrapText="1"/>
    </xf>
    <xf numFmtId="0" fontId="34" fillId="2" borderId="12" xfId="0" applyFont="1" applyFill="1" applyBorder="1" applyAlignment="1">
      <alignment horizontal="left" vertical="center" wrapText="1"/>
    </xf>
    <xf numFmtId="0" fontId="22" fillId="0" borderId="23" xfId="2" applyFont="1" applyFill="1" applyBorder="1" applyAlignment="1">
      <alignment horizontal="left" vertical="center" wrapText="1"/>
    </xf>
    <xf numFmtId="0" fontId="22" fillId="0" borderId="24" xfId="2" applyFont="1" applyFill="1" applyBorder="1" applyAlignment="1">
      <alignment horizontal="left" vertical="center" wrapText="1"/>
    </xf>
    <xf numFmtId="0" fontId="22" fillId="0" borderId="127" xfId="2" applyFont="1" applyFill="1" applyBorder="1" applyAlignment="1">
      <alignment horizontal="left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22" fillId="0" borderId="28" xfId="2" applyFont="1" applyBorder="1" applyAlignment="1">
      <alignment horizontal="center" vertical="center" wrapText="1"/>
    </xf>
    <xf numFmtId="0" fontId="22" fillId="0" borderId="5" xfId="2" applyFont="1" applyFill="1" applyBorder="1" applyAlignment="1">
      <alignment horizontal="center" vertical="center" wrapText="1"/>
    </xf>
    <xf numFmtId="0" fontId="22" fillId="0" borderId="28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0" borderId="41" xfId="2" applyFont="1" applyFill="1" applyBorder="1" applyAlignment="1">
      <alignment horizontal="center" vertical="center" wrapText="1"/>
    </xf>
    <xf numFmtId="0" fontId="4" fillId="0" borderId="143" xfId="2" applyFont="1" applyFill="1" applyBorder="1" applyAlignment="1">
      <alignment horizontal="center" vertical="center" wrapText="1"/>
    </xf>
    <xf numFmtId="0" fontId="35" fillId="0" borderId="5" xfId="2" applyFont="1" applyFill="1" applyBorder="1" applyAlignment="1">
      <alignment horizontal="center" vertical="center" wrapText="1"/>
    </xf>
    <xf numFmtId="0" fontId="35" fillId="0" borderId="28" xfId="2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top"/>
    </xf>
    <xf numFmtId="0" fontId="1" fillId="8" borderId="35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9" fillId="0" borderId="30" xfId="0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0" fontId="15" fillId="0" borderId="46" xfId="0" applyFont="1" applyBorder="1" applyAlignment="1">
      <alignment horizontal="left" vertical="center"/>
    </xf>
    <xf numFmtId="0" fontId="15" fillId="0" borderId="92" xfId="0" applyFont="1" applyBorder="1" applyAlignment="1">
      <alignment horizontal="left" vertical="center"/>
    </xf>
    <xf numFmtId="0" fontId="1" fillId="8" borderId="19" xfId="0" applyFont="1" applyFill="1" applyBorder="1" applyAlignment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3" fontId="7" fillId="2" borderId="63" xfId="2" applyNumberFormat="1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vertical="center"/>
    </xf>
    <xf numFmtId="0" fontId="1" fillId="0" borderId="67" xfId="0" applyFont="1" applyFill="1" applyBorder="1" applyAlignment="1">
      <alignment vertical="center"/>
    </xf>
    <xf numFmtId="0" fontId="5" fillId="0" borderId="59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3" fillId="0" borderId="48" xfId="2" applyFont="1" applyFill="1" applyBorder="1" applyAlignment="1">
      <alignment horizontal="center" vertical="center" wrapText="1"/>
    </xf>
    <xf numFmtId="0" fontId="5" fillId="0" borderId="49" xfId="2" applyFont="1" applyFill="1" applyBorder="1" applyAlignment="1">
      <alignment horizontal="center" vertical="center" wrapText="1"/>
    </xf>
    <xf numFmtId="0" fontId="8" fillId="0" borderId="49" xfId="0" applyFont="1" applyBorder="1" applyAlignment="1">
      <alignment wrapText="1"/>
    </xf>
    <xf numFmtId="0" fontId="8" fillId="0" borderId="12" xfId="0" applyFont="1" applyBorder="1"/>
    <xf numFmtId="0" fontId="1" fillId="0" borderId="48" xfId="0" applyFont="1" applyBorder="1"/>
    <xf numFmtId="3" fontId="7" fillId="2" borderId="69" xfId="2" applyNumberFormat="1" applyFont="1" applyFill="1" applyBorder="1" applyAlignment="1">
      <alignment horizontal="center" vertical="center" wrapText="1"/>
    </xf>
    <xf numFmtId="0" fontId="3" fillId="0" borderId="57" xfId="2" applyFont="1" applyFill="1" applyBorder="1" applyAlignment="1">
      <alignment horizontal="center" vertical="center" wrapText="1"/>
    </xf>
    <xf numFmtId="0" fontId="3" fillId="0" borderId="61" xfId="2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8" fillId="0" borderId="63" xfId="0" applyFont="1" applyBorder="1" applyAlignment="1">
      <alignment vertical="center" wrapText="1"/>
    </xf>
    <xf numFmtId="0" fontId="8" fillId="0" borderId="31" xfId="0" applyFont="1" applyBorder="1" applyAlignment="1">
      <alignment wrapText="1"/>
    </xf>
    <xf numFmtId="0" fontId="3" fillId="0" borderId="57" xfId="2" applyFont="1" applyFill="1" applyBorder="1" applyAlignment="1">
      <alignment horizontal="center" vertical="center"/>
    </xf>
    <xf numFmtId="0" fontId="3" fillId="0" borderId="61" xfId="2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3" fontId="5" fillId="0" borderId="59" xfId="2" applyNumberFormat="1" applyFont="1" applyFill="1" applyBorder="1" applyAlignment="1">
      <alignment horizontal="center" vertical="center" wrapText="1"/>
    </xf>
    <xf numFmtId="3" fontId="5" fillId="0" borderId="63" xfId="2" applyNumberFormat="1" applyFont="1" applyFill="1" applyBorder="1" applyAlignment="1">
      <alignment horizontal="center" vertical="center" wrapText="1"/>
    </xf>
    <xf numFmtId="3" fontId="5" fillId="0" borderId="69" xfId="2" applyNumberFormat="1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3" fontId="14" fillId="21" borderId="78" xfId="2" applyNumberFormat="1" applyFont="1" applyFill="1" applyBorder="1" applyAlignment="1">
      <alignment vertical="top" wrapText="1"/>
    </xf>
    <xf numFmtId="0" fontId="8" fillId="17" borderId="63" xfId="0" applyFont="1" applyFill="1" applyBorder="1" applyAlignment="1">
      <alignment vertical="top"/>
    </xf>
    <xf numFmtId="3" fontId="27" fillId="17" borderId="78" xfId="2" applyNumberFormat="1" applyFont="1" applyFill="1" applyBorder="1" applyAlignment="1">
      <alignment vertical="top" wrapText="1"/>
    </xf>
    <xf numFmtId="0" fontId="8" fillId="17" borderId="63" xfId="0" applyFont="1" applyFill="1" applyBorder="1" applyAlignment="1"/>
    <xf numFmtId="0" fontId="8" fillId="17" borderId="69" xfId="0" applyFont="1" applyFill="1" applyBorder="1" applyAlignment="1"/>
    <xf numFmtId="3" fontId="5" fillId="18" borderId="49" xfId="2" applyNumberFormat="1" applyFont="1" applyFill="1" applyBorder="1" applyAlignment="1">
      <alignment horizontal="center" vertical="center" wrapText="1"/>
    </xf>
    <xf numFmtId="3" fontId="14" fillId="18" borderId="6" xfId="2" applyNumberFormat="1" applyFont="1" applyFill="1" applyBorder="1" applyAlignment="1">
      <alignment horizontal="center" vertical="top" wrapText="1"/>
    </xf>
    <xf numFmtId="3" fontId="14" fillId="18" borderId="78" xfId="2" applyNumberFormat="1" applyFont="1" applyFill="1" applyBorder="1" applyAlignment="1">
      <alignment horizontal="center" vertical="top" wrapText="1"/>
    </xf>
    <xf numFmtId="3" fontId="27" fillId="18" borderId="6" xfId="2" applyNumberFormat="1" applyFont="1" applyFill="1" applyBorder="1" applyAlignment="1">
      <alignment horizontal="center" vertical="top" wrapText="1"/>
    </xf>
    <xf numFmtId="3" fontId="27" fillId="18" borderId="31" xfId="2" applyNumberFormat="1" applyFont="1" applyFill="1" applyBorder="1" applyAlignment="1">
      <alignment horizontal="center" vertical="top" wrapText="1"/>
    </xf>
    <xf numFmtId="0" fontId="3" fillId="0" borderId="17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5" fillId="0" borderId="81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31" xfId="2" applyFont="1" applyFill="1" applyBorder="1" applyAlignment="1">
      <alignment horizontal="center" vertical="center" wrapText="1"/>
    </xf>
    <xf numFmtId="3" fontId="7" fillId="2" borderId="95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78" xfId="2" applyNumberFormat="1" applyFont="1" applyFill="1" applyBorder="1" applyAlignment="1">
      <alignment horizontal="center" vertical="center" wrapText="1"/>
    </xf>
    <xf numFmtId="0" fontId="28" fillId="0" borderId="9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3" fillId="0" borderId="17" xfId="2" quotePrefix="1" applyFont="1" applyFill="1" applyBorder="1" applyAlignment="1">
      <alignment horizontal="center" vertical="center"/>
    </xf>
    <xf numFmtId="0" fontId="3" fillId="0" borderId="7" xfId="2" quotePrefix="1" applyFont="1" applyFill="1" applyBorder="1" applyAlignment="1">
      <alignment horizontal="center" vertical="center"/>
    </xf>
    <xf numFmtId="0" fontId="3" fillId="0" borderId="11" xfId="2" quotePrefix="1" applyFont="1" applyFill="1" applyBorder="1" applyAlignment="1">
      <alignment horizontal="center" vertical="center"/>
    </xf>
    <xf numFmtId="0" fontId="7" fillId="2" borderId="95" xfId="2" applyFont="1" applyFill="1" applyBorder="1" applyAlignment="1">
      <alignment horizontal="center" vertical="center" wrapText="1"/>
    </xf>
    <xf numFmtId="0" fontId="7" fillId="2" borderId="31" xfId="2" applyFont="1" applyFill="1" applyBorder="1" applyAlignment="1">
      <alignment horizontal="center" vertical="center" wrapText="1"/>
    </xf>
    <xf numFmtId="0" fontId="3" fillId="18" borderId="17" xfId="2" applyFont="1" applyFill="1" applyBorder="1" applyAlignment="1">
      <alignment horizontal="center" vertical="top"/>
    </xf>
    <xf numFmtId="0" fontId="3" fillId="18" borderId="7" xfId="2" applyFont="1" applyFill="1" applyBorder="1" applyAlignment="1">
      <alignment horizontal="center" vertical="top"/>
    </xf>
    <xf numFmtId="0" fontId="3" fillId="18" borderId="11" xfId="2" applyFont="1" applyFill="1" applyBorder="1" applyAlignment="1">
      <alignment horizontal="center" vertical="top"/>
    </xf>
    <xf numFmtId="3" fontId="5" fillId="18" borderId="81" xfId="2" applyNumberFormat="1" applyFont="1" applyFill="1" applyBorder="1" applyAlignment="1">
      <alignment horizontal="center" vertical="top" wrapText="1"/>
    </xf>
    <xf numFmtId="3" fontId="5" fillId="18" borderId="6" xfId="2" applyNumberFormat="1" applyFont="1" applyFill="1" applyBorder="1" applyAlignment="1">
      <alignment horizontal="center" vertical="top" wrapText="1"/>
    </xf>
    <xf numFmtId="3" fontId="5" fillId="18" borderId="31" xfId="2" applyNumberFormat="1" applyFont="1" applyFill="1" applyBorder="1" applyAlignment="1">
      <alignment horizontal="center" vertical="top" wrapText="1"/>
    </xf>
    <xf numFmtId="3" fontId="14" fillId="18" borderId="95" xfId="2" applyNumberFormat="1" applyFont="1" applyFill="1" applyBorder="1" applyAlignment="1">
      <alignment vertical="top" wrapText="1"/>
    </xf>
    <xf numFmtId="3" fontId="14" fillId="18" borderId="6" xfId="2" applyNumberFormat="1" applyFont="1" applyFill="1" applyBorder="1" applyAlignment="1">
      <alignment vertical="top" wrapText="1"/>
    </xf>
    <xf numFmtId="3" fontId="14" fillId="18" borderId="78" xfId="2" applyNumberFormat="1" applyFont="1" applyFill="1" applyBorder="1" applyAlignment="1">
      <alignment vertical="top" wrapText="1"/>
    </xf>
    <xf numFmtId="0" fontId="27" fillId="18" borderId="95" xfId="2" applyFont="1" applyFill="1" applyBorder="1" applyAlignment="1">
      <alignment vertical="top"/>
    </xf>
    <xf numFmtId="0" fontId="27" fillId="18" borderId="31" xfId="2" applyFont="1" applyFill="1" applyBorder="1" applyAlignment="1">
      <alignment vertical="top"/>
    </xf>
    <xf numFmtId="0" fontId="3" fillId="0" borderId="48" xfId="2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8" fillId="0" borderId="0" xfId="0" applyFont="1" applyBorder="1"/>
    <xf numFmtId="0" fontId="3" fillId="2" borderId="57" xfId="2" applyFont="1" applyFill="1" applyBorder="1" applyAlignment="1">
      <alignment horizontal="center" vertical="center"/>
    </xf>
    <xf numFmtId="0" fontId="3" fillId="2" borderId="61" xfId="2" applyFont="1" applyFill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3" fontId="3" fillId="9" borderId="57" xfId="2" applyNumberFormat="1" applyFont="1" applyFill="1" applyBorder="1" applyAlignment="1">
      <alignment horizontal="center" vertical="center" wrapText="1"/>
    </xf>
    <xf numFmtId="3" fontId="3" fillId="9" borderId="58" xfId="2" applyNumberFormat="1" applyFont="1" applyFill="1" applyBorder="1" applyAlignment="1">
      <alignment horizontal="center" vertical="center" wrapText="1"/>
    </xf>
    <xf numFmtId="3" fontId="3" fillId="9" borderId="59" xfId="2" applyNumberFormat="1" applyFont="1" applyFill="1" applyBorder="1" applyAlignment="1">
      <alignment horizontal="center" vertical="center" wrapText="1"/>
    </xf>
    <xf numFmtId="3" fontId="5" fillId="0" borderId="49" xfId="2" applyNumberFormat="1" applyFont="1" applyFill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5" fillId="0" borderId="63" xfId="2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3" fillId="0" borderId="79" xfId="2" applyFont="1" applyFill="1" applyBorder="1" applyAlignment="1">
      <alignment horizontal="center" vertical="center"/>
    </xf>
    <xf numFmtId="0" fontId="5" fillId="0" borderId="78" xfId="2" applyFont="1" applyFill="1" applyBorder="1" applyAlignment="1">
      <alignment horizontal="center" vertical="center" wrapText="1"/>
    </xf>
    <xf numFmtId="0" fontId="3" fillId="18" borderId="57" xfId="2" applyFont="1" applyFill="1" applyBorder="1" applyAlignment="1">
      <alignment horizontal="center" vertical="top"/>
    </xf>
    <xf numFmtId="0" fontId="3" fillId="18" borderId="61" xfId="2" applyFont="1" applyFill="1" applyBorder="1" applyAlignment="1">
      <alignment horizontal="center" vertical="top"/>
    </xf>
    <xf numFmtId="0" fontId="1" fillId="18" borderId="61" xfId="0" applyFont="1" applyFill="1" applyBorder="1" applyAlignment="1">
      <alignment horizontal="center" vertical="top"/>
    </xf>
    <xf numFmtId="0" fontId="1" fillId="18" borderId="67" xfId="0" applyFont="1" applyFill="1" applyBorder="1" applyAlignment="1">
      <alignment horizontal="center" vertical="top"/>
    </xf>
    <xf numFmtId="0" fontId="5" fillId="18" borderId="59" xfId="2" applyFont="1" applyFill="1" applyBorder="1" applyAlignment="1">
      <alignment horizontal="center" vertical="center" wrapText="1"/>
    </xf>
    <xf numFmtId="0" fontId="5" fillId="18" borderId="63" xfId="2" applyFont="1" applyFill="1" applyBorder="1" applyAlignment="1">
      <alignment horizontal="center" vertical="center" wrapText="1"/>
    </xf>
    <xf numFmtId="0" fontId="8" fillId="18" borderId="63" xfId="0" applyFont="1" applyFill="1" applyBorder="1" applyAlignment="1">
      <alignment horizontal="center" vertical="center" wrapText="1"/>
    </xf>
    <xf numFmtId="0" fontId="8" fillId="18" borderId="69" xfId="0" applyFont="1" applyFill="1" applyBorder="1" applyAlignment="1">
      <alignment horizontal="center" vertical="center" wrapText="1"/>
    </xf>
    <xf numFmtId="0" fontId="14" fillId="18" borderId="78" xfId="2" applyFont="1" applyFill="1" applyBorder="1" applyAlignment="1">
      <alignment horizontal="left" vertical="center"/>
    </xf>
    <xf numFmtId="0" fontId="8" fillId="18" borderId="63" xfId="0" applyFont="1" applyFill="1" applyBorder="1" applyAlignment="1"/>
    <xf numFmtId="0" fontId="27" fillId="18" borderId="78" xfId="2" applyFont="1" applyFill="1" applyBorder="1" applyAlignment="1">
      <alignment vertical="top"/>
    </xf>
    <xf numFmtId="0" fontId="8" fillId="18" borderId="69" xfId="0" applyFont="1" applyFill="1" applyBorder="1" applyAlignment="1">
      <alignment vertical="top"/>
    </xf>
    <xf numFmtId="3" fontId="5" fillId="0" borderId="78" xfId="2" applyNumberFormat="1" applyFont="1" applyFill="1" applyBorder="1" applyAlignment="1">
      <alignment horizontal="center" vertical="center" wrapText="1"/>
    </xf>
    <xf numFmtId="0" fontId="3" fillId="0" borderId="67" xfId="2" applyFont="1" applyFill="1" applyBorder="1" applyAlignment="1">
      <alignment horizontal="center" vertical="center"/>
    </xf>
    <xf numFmtId="3" fontId="7" fillId="2" borderId="31" xfId="2" applyNumberFormat="1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0" fontId="7" fillId="2" borderId="63" xfId="2" applyFont="1" applyFill="1" applyBorder="1" applyAlignment="1">
      <alignment horizontal="center" vertical="center" wrapText="1"/>
    </xf>
    <xf numFmtId="0" fontId="8" fillId="0" borderId="63" xfId="0" applyFont="1" applyBorder="1" applyAlignment="1">
      <alignment wrapText="1"/>
    </xf>
    <xf numFmtId="0" fontId="8" fillId="0" borderId="69" xfId="0" applyFont="1" applyBorder="1" applyAlignment="1">
      <alignment wrapText="1"/>
    </xf>
    <xf numFmtId="0" fontId="3" fillId="0" borderId="79" xfId="2" applyFont="1" applyFill="1" applyBorder="1" applyAlignment="1">
      <alignment horizontal="center" vertical="center" wrapText="1"/>
    </xf>
    <xf numFmtId="0" fontId="3" fillId="0" borderId="67" xfId="2" applyFont="1" applyFill="1" applyBorder="1" applyAlignment="1">
      <alignment horizontal="center" vertical="center" wrapText="1"/>
    </xf>
    <xf numFmtId="0" fontId="5" fillId="0" borderId="56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3" fontId="7" fillId="2" borderId="64" xfId="2" applyNumberFormat="1" applyFont="1" applyFill="1" applyBorder="1" applyAlignment="1">
      <alignment horizontal="center" vertical="center" wrapText="1"/>
    </xf>
    <xf numFmtId="3" fontId="6" fillId="2" borderId="63" xfId="2" applyNumberFormat="1" applyFont="1" applyFill="1" applyBorder="1" applyAlignment="1">
      <alignment horizontal="center" vertical="center" wrapText="1"/>
    </xf>
    <xf numFmtId="3" fontId="6" fillId="2" borderId="69" xfId="2" applyNumberFormat="1" applyFont="1" applyFill="1" applyBorder="1" applyAlignment="1">
      <alignment horizontal="center" vertical="center" wrapText="1"/>
    </xf>
    <xf numFmtId="3" fontId="7" fillId="2" borderId="65" xfId="2" applyNumberFormat="1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/>
    </xf>
    <xf numFmtId="0" fontId="7" fillId="18" borderId="102" xfId="2" applyFont="1" applyFill="1" applyBorder="1" applyAlignment="1">
      <alignment horizontal="center" vertical="center"/>
    </xf>
    <xf numFmtId="0" fontId="7" fillId="18" borderId="103" xfId="2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top"/>
    </xf>
    <xf numFmtId="0" fontId="25" fillId="2" borderId="37" xfId="0" applyFont="1" applyFill="1" applyBorder="1" applyAlignment="1">
      <alignment horizontal="center" vertical="top"/>
    </xf>
    <xf numFmtId="0" fontId="22" fillId="0" borderId="22" xfId="2" applyFont="1" applyFill="1" applyBorder="1" applyAlignment="1">
      <alignment horizontal="left" vertical="center" wrapText="1"/>
    </xf>
    <xf numFmtId="0" fontId="3" fillId="0" borderId="93" xfId="2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7" fillId="2" borderId="85" xfId="2" applyNumberFormat="1" applyFont="1" applyFill="1" applyBorder="1" applyAlignment="1">
      <alignment horizontal="center" vertical="center" wrapText="1"/>
    </xf>
    <xf numFmtId="3" fontId="7" fillId="2" borderId="59" xfId="2" applyNumberFormat="1" applyFont="1" applyFill="1" applyBorder="1" applyAlignment="1">
      <alignment horizontal="center" vertical="center" wrapText="1"/>
    </xf>
    <xf numFmtId="3" fontId="7" fillId="2" borderId="74" xfId="2" applyNumberFormat="1" applyFont="1" applyFill="1" applyBorder="1" applyAlignment="1">
      <alignment horizontal="center" vertical="center" wrapText="1"/>
    </xf>
    <xf numFmtId="3" fontId="5" fillId="18" borderId="59" xfId="2" applyNumberFormat="1" applyFont="1" applyFill="1" applyBorder="1" applyAlignment="1">
      <alignment horizontal="center" vertical="top" wrapText="1"/>
    </xf>
    <xf numFmtId="0" fontId="8" fillId="18" borderId="63" xfId="0" applyFont="1" applyFill="1" applyBorder="1" applyAlignment="1">
      <alignment horizontal="center" vertical="top" wrapText="1"/>
    </xf>
    <xf numFmtId="0" fontId="8" fillId="18" borderId="69" xfId="0" applyFont="1" applyFill="1" applyBorder="1" applyAlignment="1">
      <alignment horizontal="center" vertical="top" wrapText="1"/>
    </xf>
    <xf numFmtId="0" fontId="22" fillId="0" borderId="3" xfId="2" applyFont="1" applyFill="1" applyBorder="1" applyAlignment="1">
      <alignment horizontal="center" vertical="center" wrapText="1"/>
    </xf>
    <xf numFmtId="0" fontId="22" fillId="0" borderId="7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3" xfId="2" applyFont="1" applyFill="1" applyBorder="1" applyAlignment="1">
      <alignment horizontal="center" vertical="center" wrapText="1"/>
    </xf>
    <xf numFmtId="0" fontId="7" fillId="0" borderId="119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36" fillId="0" borderId="119" xfId="2" applyFont="1" applyFill="1" applyBorder="1" applyAlignment="1">
      <alignment horizontal="center" vertical="center" wrapText="1"/>
    </xf>
    <xf numFmtId="0" fontId="36" fillId="0" borderId="15" xfId="2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30" fillId="2" borderId="40" xfId="2" applyFont="1" applyFill="1" applyBorder="1" applyAlignment="1">
      <alignment wrapText="1"/>
    </xf>
    <xf numFmtId="0" fontId="37" fillId="0" borderId="19" xfId="0" applyFont="1" applyBorder="1" applyAlignment="1">
      <alignment wrapText="1"/>
    </xf>
    <xf numFmtId="0" fontId="37" fillId="0" borderId="87" xfId="0" applyFont="1" applyBorder="1" applyAlignment="1">
      <alignment wrapText="1"/>
    </xf>
    <xf numFmtId="0" fontId="3" fillId="0" borderId="1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 wrapText="1"/>
    </xf>
    <xf numFmtId="0" fontId="2" fillId="0" borderId="81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31" xfId="2" applyFont="1" applyBorder="1" applyAlignment="1">
      <alignment horizontal="center" vertical="center" wrapText="1"/>
    </xf>
    <xf numFmtId="0" fontId="7" fillId="0" borderId="8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12" fillId="2" borderId="107" xfId="2" applyFont="1" applyFill="1" applyBorder="1" applyAlignment="1">
      <alignment horizontal="center" vertical="center" wrapText="1"/>
    </xf>
    <xf numFmtId="0" fontId="3" fillId="6" borderId="57" xfId="2" applyFont="1" applyFill="1" applyBorder="1" applyAlignment="1">
      <alignment vertical="top"/>
    </xf>
    <xf numFmtId="0" fontId="1" fillId="0" borderId="61" xfId="0" applyFont="1" applyBorder="1" applyAlignment="1">
      <alignment vertical="top"/>
    </xf>
    <xf numFmtId="0" fontId="1" fillId="0" borderId="93" xfId="0" applyFont="1" applyBorder="1" applyAlignment="1">
      <alignment vertical="top"/>
    </xf>
    <xf numFmtId="3" fontId="5" fillId="6" borderId="59" xfId="2" applyNumberFormat="1" applyFont="1" applyFill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95" xfId="0" applyFont="1" applyBorder="1" applyAlignment="1">
      <alignment vertical="top" wrapText="1"/>
    </xf>
    <xf numFmtId="0" fontId="14" fillId="6" borderId="63" xfId="2" applyFont="1" applyFill="1" applyBorder="1" applyAlignment="1">
      <alignment vertical="top"/>
    </xf>
    <xf numFmtId="0" fontId="8" fillId="0" borderId="63" xfId="0" applyFont="1" applyBorder="1" applyAlignment="1">
      <alignment vertical="top"/>
    </xf>
    <xf numFmtId="3" fontId="27" fillId="6" borderId="78" xfId="2" applyNumberFormat="1" applyFont="1" applyFill="1" applyBorder="1" applyAlignment="1">
      <alignment vertical="top" wrapText="1"/>
    </xf>
    <xf numFmtId="0" fontId="8" fillId="0" borderId="63" xfId="0" applyFont="1" applyBorder="1" applyAlignment="1"/>
    <xf numFmtId="0" fontId="8" fillId="0" borderId="95" xfId="0" applyFont="1" applyBorder="1" applyAlignment="1"/>
    <xf numFmtId="0" fontId="3" fillId="0" borderId="13" xfId="2" applyFont="1" applyFill="1" applyBorder="1" applyAlignment="1">
      <alignment horizontal="center" vertical="center" wrapText="1"/>
    </xf>
    <xf numFmtId="0" fontId="25" fillId="0" borderId="31" xfId="2" applyFont="1" applyBorder="1" applyAlignment="1">
      <alignment horizontal="center" vertical="center" wrapText="1"/>
    </xf>
    <xf numFmtId="0" fontId="3" fillId="0" borderId="7" xfId="2" quotePrefix="1" applyFont="1" applyFill="1" applyBorder="1" applyAlignment="1">
      <alignment horizontal="center" vertical="center" wrapText="1"/>
    </xf>
    <xf numFmtId="0" fontId="3" fillId="0" borderId="93" xfId="2" applyFont="1" applyFill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6" fillId="0" borderId="78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3" fontId="7" fillId="0" borderId="63" xfId="2" applyNumberFormat="1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7" fillId="0" borderId="63" xfId="2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wrapText="1"/>
    </xf>
    <xf numFmtId="0" fontId="8" fillId="0" borderId="69" xfId="0" applyFont="1" applyFill="1" applyBorder="1" applyAlignment="1">
      <alignment wrapText="1"/>
    </xf>
    <xf numFmtId="0" fontId="3" fillId="0" borderId="17" xfId="2" quotePrefix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0" borderId="59" xfId="2" applyFont="1" applyFill="1" applyBorder="1" applyAlignment="1">
      <alignment horizontal="center" vertical="center" wrapText="1"/>
    </xf>
    <xf numFmtId="0" fontId="6" fillId="0" borderId="69" xfId="2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wrapText="1"/>
    </xf>
    <xf numFmtId="0" fontId="8" fillId="0" borderId="31" xfId="0" applyFont="1" applyFill="1" applyBorder="1" applyAlignment="1">
      <alignment wrapText="1"/>
    </xf>
    <xf numFmtId="0" fontId="3" fillId="6" borderId="17" xfId="2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3" fontId="5" fillId="6" borderId="81" xfId="2" applyNumberFormat="1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3" fontId="14" fillId="6" borderId="95" xfId="2" applyNumberFormat="1" applyFont="1" applyFill="1" applyBorder="1" applyAlignment="1">
      <alignment vertical="top" wrapText="1"/>
    </xf>
    <xf numFmtId="0" fontId="8" fillId="0" borderId="6" xfId="0" applyFont="1" applyBorder="1" applyAlignment="1">
      <alignment vertical="top"/>
    </xf>
    <xf numFmtId="0" fontId="8" fillId="0" borderId="78" xfId="0" applyFont="1" applyBorder="1" applyAlignment="1">
      <alignment vertical="top"/>
    </xf>
    <xf numFmtId="0" fontId="3" fillId="0" borderId="57" xfId="2" quotePrefix="1" applyFont="1" applyFill="1" applyBorder="1" applyAlignment="1">
      <alignment horizontal="center" vertical="center"/>
    </xf>
    <xf numFmtId="0" fontId="7" fillId="2" borderId="69" xfId="2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/>
    </xf>
    <xf numFmtId="0" fontId="28" fillId="0" borderId="78" xfId="0" applyFont="1" applyFill="1" applyBorder="1" applyAlignment="1">
      <alignment horizontal="center" vertical="center" wrapText="1"/>
    </xf>
    <xf numFmtId="0" fontId="7" fillId="2" borderId="70" xfId="2" applyFont="1" applyFill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6" fillId="0" borderId="95" xfId="2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95" xfId="0" applyFont="1" applyFill="1" applyBorder="1" applyAlignment="1">
      <alignment horizontal="center" vertical="center" wrapText="1"/>
    </xf>
    <xf numFmtId="3" fontId="27" fillId="6" borderId="95" xfId="2" applyNumberFormat="1" applyFont="1" applyFill="1" applyBorder="1" applyAlignment="1">
      <alignment vertical="top" wrapText="1"/>
    </xf>
    <xf numFmtId="0" fontId="8" fillId="0" borderId="6" xfId="0" applyFont="1" applyBorder="1" applyAlignment="1"/>
    <xf numFmtId="0" fontId="8" fillId="0" borderId="31" xfId="0" applyFont="1" applyBorder="1" applyAlignment="1"/>
    <xf numFmtId="3" fontId="3" fillId="9" borderId="60" xfId="2" applyNumberFormat="1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wrapText="1"/>
    </xf>
    <xf numFmtId="0" fontId="28" fillId="0" borderId="69" xfId="0" applyFont="1" applyFill="1" applyBorder="1" applyAlignment="1">
      <alignment horizontal="center" wrapText="1"/>
    </xf>
    <xf numFmtId="3" fontId="7" fillId="2" borderId="102" xfId="2" applyNumberFormat="1" applyFont="1" applyFill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0" fontId="7" fillId="0" borderId="62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/>
    </xf>
    <xf numFmtId="0" fontId="6" fillId="0" borderId="41" xfId="2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3" fontId="7" fillId="2" borderId="119" xfId="2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2" borderId="119" xfId="2" applyFont="1" applyFill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30" fillId="2" borderId="44" xfId="2" applyFont="1" applyFill="1" applyBorder="1" applyAlignment="1">
      <alignment wrapText="1"/>
    </xf>
    <xf numFmtId="0" fontId="40" fillId="0" borderId="35" xfId="0" applyFont="1" applyBorder="1" applyAlignment="1">
      <alignment wrapText="1"/>
    </xf>
    <xf numFmtId="0" fontId="40" fillId="0" borderId="97" xfId="0" applyFont="1" applyBorder="1" applyAlignment="1">
      <alignment wrapText="1"/>
    </xf>
    <xf numFmtId="0" fontId="3" fillId="0" borderId="44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0" fontId="5" fillId="0" borderId="97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6" fillId="0" borderId="81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17" xfId="0" quotePrefix="1" applyFont="1" applyFill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center" vertical="center" wrapText="1"/>
    </xf>
    <xf numFmtId="0" fontId="3" fillId="0" borderId="11" xfId="0" quotePrefix="1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vertical="top"/>
    </xf>
    <xf numFmtId="0" fontId="1" fillId="0" borderId="21" xfId="0" applyFont="1" applyBorder="1" applyAlignment="1"/>
    <xf numFmtId="0" fontId="1" fillId="0" borderId="32" xfId="0" applyFont="1" applyBorder="1" applyAlignment="1"/>
    <xf numFmtId="0" fontId="30" fillId="2" borderId="44" xfId="0" applyFont="1" applyFill="1" applyBorder="1" applyAlignment="1">
      <alignment vertical="top"/>
    </xf>
    <xf numFmtId="0" fontId="30" fillId="2" borderId="35" xfId="0" applyFont="1" applyFill="1" applyBorder="1" applyAlignment="1">
      <alignment vertical="top"/>
    </xf>
    <xf numFmtId="0" fontId="40" fillId="0" borderId="35" xfId="0" applyFont="1" applyBorder="1" applyAlignment="1">
      <alignment vertical="top"/>
    </xf>
    <xf numFmtId="0" fontId="40" fillId="0" borderId="97" xfId="0" applyFont="1" applyBorder="1" applyAlignment="1">
      <alignment vertical="top"/>
    </xf>
    <xf numFmtId="0" fontId="6" fillId="0" borderId="5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55" xfId="2" applyFont="1" applyFill="1" applyBorder="1" applyAlignment="1">
      <alignment horizontal="center" vertical="center" wrapText="1"/>
    </xf>
    <xf numFmtId="0" fontId="5" fillId="0" borderId="105" xfId="2" applyFont="1" applyFill="1" applyBorder="1" applyAlignment="1">
      <alignment horizontal="center" vertical="center" wrapText="1"/>
    </xf>
    <xf numFmtId="3" fontId="5" fillId="6" borderId="16" xfId="0" applyNumberFormat="1" applyFont="1" applyFill="1" applyBorder="1" applyAlignment="1">
      <alignment horizontal="center" vertical="top" wrapText="1"/>
    </xf>
    <xf numFmtId="0" fontId="1" fillId="0" borderId="55" xfId="0" applyFont="1" applyBorder="1" applyAlignment="1">
      <alignment horizontal="center" wrapText="1"/>
    </xf>
    <xf numFmtId="0" fontId="1" fillId="0" borderId="105" xfId="0" applyFont="1" applyBorder="1" applyAlignment="1">
      <alignment horizontal="center" wrapText="1"/>
    </xf>
    <xf numFmtId="0" fontId="7" fillId="6" borderId="74" xfId="0" applyFont="1" applyFill="1" applyBorder="1" applyAlignment="1">
      <alignment vertical="center" wrapText="1"/>
    </xf>
    <xf numFmtId="0" fontId="7" fillId="6" borderId="56" xfId="0" applyFont="1" applyFill="1" applyBorder="1" applyAlignment="1">
      <alignment vertical="center" wrapText="1"/>
    </xf>
    <xf numFmtId="0" fontId="8" fillId="0" borderId="55" xfId="0" applyFont="1" applyBorder="1" applyAlignment="1"/>
    <xf numFmtId="0" fontId="8" fillId="0" borderId="83" xfId="0" applyFont="1" applyBorder="1" applyAlignment="1"/>
    <xf numFmtId="0" fontId="7" fillId="17" borderId="74" xfId="0" applyFont="1" applyFill="1" applyBorder="1" applyAlignment="1">
      <alignment vertical="center" wrapText="1"/>
    </xf>
    <xf numFmtId="0" fontId="8" fillId="17" borderId="55" xfId="0" applyFont="1" applyFill="1" applyBorder="1" applyAlignment="1"/>
    <xf numFmtId="0" fontId="8" fillId="17" borderId="105" xfId="0" applyFont="1" applyFill="1" applyBorder="1" applyAlignment="1"/>
    <xf numFmtId="0" fontId="3" fillId="0" borderId="48" xfId="0" quotePrefix="1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center" wrapText="1"/>
    </xf>
    <xf numFmtId="0" fontId="18" fillId="0" borderId="81" xfId="0" applyFont="1" applyBorder="1" applyAlignment="1">
      <alignment horizont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6" fillId="0" borderId="64" xfId="0" applyFont="1" applyFill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left" vertical="center" wrapText="1"/>
    </xf>
    <xf numFmtId="0" fontId="27" fillId="2" borderId="8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7" fillId="2" borderId="91" xfId="0" applyFont="1" applyFill="1" applyBorder="1" applyAlignment="1">
      <alignment horizontal="center" vertical="center" wrapText="1"/>
    </xf>
    <xf numFmtId="0" fontId="28" fillId="2" borderId="70" xfId="0" applyFont="1" applyFill="1" applyBorder="1" applyAlignment="1">
      <alignment horizontal="center" vertical="center" wrapText="1"/>
    </xf>
    <xf numFmtId="0" fontId="28" fillId="0" borderId="81" xfId="0" applyFont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3" fillId="2" borderId="48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2" xfId="0" quotePrefix="1" applyFont="1" applyFill="1" applyBorder="1" applyAlignment="1">
      <alignment horizontal="center" vertical="center" wrapText="1"/>
    </xf>
    <xf numFmtId="0" fontId="3" fillId="2" borderId="50" xfId="0" quotePrefix="1" applyFont="1" applyFill="1" applyBorder="1" applyAlignment="1">
      <alignment horizontal="center" vertical="center" wrapText="1"/>
    </xf>
    <xf numFmtId="0" fontId="3" fillId="2" borderId="21" xfId="0" quotePrefix="1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7" xfId="0" quotePrefix="1" applyFont="1" applyFill="1" applyBorder="1" applyAlignment="1">
      <alignment horizontal="center" vertical="center" wrapText="1"/>
    </xf>
    <xf numFmtId="0" fontId="3" fillId="2" borderId="11" xfId="0" quotePrefix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05" xfId="0" applyFont="1" applyFill="1" applyBorder="1" applyAlignment="1">
      <alignment horizontal="center" vertical="center" wrapText="1"/>
    </xf>
    <xf numFmtId="0" fontId="18" fillId="0" borderId="55" xfId="0" applyFont="1" applyBorder="1" applyAlignment="1">
      <alignment horizontal="center" wrapText="1"/>
    </xf>
    <xf numFmtId="0" fontId="18" fillId="0" borderId="105" xfId="0" applyFont="1" applyBorder="1" applyAlignment="1">
      <alignment horizontal="center" wrapText="1"/>
    </xf>
    <xf numFmtId="0" fontId="6" fillId="2" borderId="64" xfId="0" applyFont="1" applyFill="1" applyBorder="1" applyAlignment="1">
      <alignment horizontal="center" vertical="center" wrapText="1"/>
    </xf>
    <xf numFmtId="0" fontId="28" fillId="2" borderId="64" xfId="0" applyFont="1" applyFill="1" applyBorder="1" applyAlignment="1">
      <alignment horizontal="center" vertical="center" wrapText="1"/>
    </xf>
    <xf numFmtId="0" fontId="6" fillId="2" borderId="9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30" fillId="2" borderId="38" xfId="0" applyFont="1" applyFill="1" applyBorder="1" applyAlignment="1">
      <alignment horizontal="left" vertical="top" wrapText="1"/>
    </xf>
    <xf numFmtId="0" fontId="40" fillId="0" borderId="49" xfId="0" applyFont="1" applyBorder="1" applyAlignment="1">
      <alignment vertical="top" wrapText="1"/>
    </xf>
    <xf numFmtId="0" fontId="22" fillId="0" borderId="5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left" vertical="center" wrapText="1"/>
    </xf>
    <xf numFmtId="0" fontId="40" fillId="0" borderId="88" xfId="0" applyFont="1" applyBorder="1" applyAlignment="1">
      <alignment vertical="center"/>
    </xf>
    <xf numFmtId="0" fontId="3" fillId="12" borderId="20" xfId="0" applyFont="1" applyFill="1" applyBorder="1" applyAlignment="1">
      <alignment vertical="top"/>
    </xf>
    <xf numFmtId="0" fontId="1" fillId="0" borderId="8" xfId="0" applyFont="1" applyBorder="1" applyAlignment="1"/>
    <xf numFmtId="0" fontId="1" fillId="0" borderId="13" xfId="0" applyFont="1" applyBorder="1" applyAlignment="1"/>
    <xf numFmtId="3" fontId="22" fillId="12" borderId="125" xfId="0" applyNumberFormat="1" applyFont="1" applyFill="1" applyBorder="1" applyAlignment="1">
      <alignment horizontal="center" vertical="center" wrapText="1"/>
    </xf>
    <xf numFmtId="3" fontId="22" fillId="12" borderId="65" xfId="0" applyNumberFormat="1" applyFont="1" applyFill="1" applyBorder="1" applyAlignment="1">
      <alignment horizontal="center" vertical="center" wrapText="1"/>
    </xf>
    <xf numFmtId="3" fontId="22" fillId="12" borderId="85" xfId="0" applyNumberFormat="1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center" vertical="center" wrapText="1"/>
    </xf>
    <xf numFmtId="0" fontId="7" fillId="6" borderId="7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7" fillId="2" borderId="74" xfId="2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6" fillId="0" borderId="8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5" fillId="0" borderId="97" xfId="0" applyFont="1" applyFill="1" applyBorder="1" applyAlignment="1">
      <alignment horizontal="center" vertical="center" wrapText="1"/>
    </xf>
    <xf numFmtId="3" fontId="2" fillId="2" borderId="62" xfId="0" applyNumberFormat="1" applyFont="1" applyFill="1" applyBorder="1" applyAlignment="1">
      <alignment horizontal="center" vertical="center"/>
    </xf>
    <xf numFmtId="3" fontId="2" fillId="2" borderId="68" xfId="0" applyNumberFormat="1" applyFont="1" applyFill="1" applyBorder="1" applyAlignment="1">
      <alignment horizontal="center" vertical="center"/>
    </xf>
    <xf numFmtId="3" fontId="22" fillId="17" borderId="62" xfId="0" applyNumberFormat="1" applyFont="1" applyFill="1" applyBorder="1" applyAlignment="1">
      <alignment horizontal="center" vertical="top"/>
    </xf>
    <xf numFmtId="3" fontId="22" fillId="17" borderId="68" xfId="0" applyNumberFormat="1" applyFont="1" applyFill="1" applyBorder="1" applyAlignment="1">
      <alignment horizontal="center" vertical="top"/>
    </xf>
    <xf numFmtId="3" fontId="22" fillId="6" borderId="125" xfId="0" applyNumberFormat="1" applyFont="1" applyFill="1" applyBorder="1" applyAlignment="1">
      <alignment horizontal="center" vertical="center" wrapText="1"/>
    </xf>
    <xf numFmtId="3" fontId="22" fillId="6" borderId="65" xfId="0" applyNumberFormat="1" applyFont="1" applyFill="1" applyBorder="1" applyAlignment="1">
      <alignment horizontal="center" vertical="center" wrapText="1"/>
    </xf>
    <xf numFmtId="3" fontId="22" fillId="6" borderId="8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3" fontId="7" fillId="17" borderId="64" xfId="2" applyNumberFormat="1" applyFont="1" applyFill="1" applyBorder="1" applyAlignment="1">
      <alignment horizontal="center" vertical="center" wrapText="1"/>
    </xf>
    <xf numFmtId="0" fontId="8" fillId="17" borderId="64" xfId="0" applyFont="1" applyFill="1" applyBorder="1" applyAlignment="1">
      <alignment horizontal="center" vertical="center"/>
    </xf>
    <xf numFmtId="0" fontId="8" fillId="17" borderId="70" xfId="0" applyFont="1" applyFill="1" applyBorder="1" applyAlignment="1">
      <alignment horizontal="center" vertical="center"/>
    </xf>
    <xf numFmtId="0" fontId="3" fillId="6" borderId="58" xfId="0" applyFont="1" applyFill="1" applyBorder="1" applyAlignment="1">
      <alignment horizontal="center" vertical="top"/>
    </xf>
    <xf numFmtId="0" fontId="3" fillId="6" borderId="62" xfId="0" applyFont="1" applyFill="1" applyBorder="1" applyAlignment="1">
      <alignment horizontal="center" vertical="top"/>
    </xf>
    <xf numFmtId="0" fontId="3" fillId="6" borderId="68" xfId="0" applyFont="1" applyFill="1" applyBorder="1" applyAlignment="1">
      <alignment horizontal="center" vertical="top"/>
    </xf>
    <xf numFmtId="0" fontId="28" fillId="2" borderId="78" xfId="0" applyFont="1" applyFill="1" applyBorder="1" applyAlignment="1">
      <alignment horizontal="center" vertical="center"/>
    </xf>
    <xf numFmtId="0" fontId="28" fillId="2" borderId="6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45" fillId="0" borderId="63" xfId="0" applyFont="1" applyFill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6" fillId="0" borderId="79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 wrapText="1"/>
    </xf>
    <xf numFmtId="0" fontId="28" fillId="2" borderId="95" xfId="0" applyFont="1" applyFill="1" applyBorder="1" applyAlignment="1">
      <alignment horizontal="center" vertical="center" wrapText="1"/>
    </xf>
    <xf numFmtId="0" fontId="35" fillId="12" borderId="48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3" fontId="5" fillId="12" borderId="49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vertical="center" wrapText="1"/>
    </xf>
    <xf numFmtId="0" fontId="8" fillId="0" borderId="78" xfId="0" applyFont="1" applyBorder="1" applyAlignment="1">
      <alignment vertical="center"/>
    </xf>
    <xf numFmtId="0" fontId="7" fillId="0" borderId="63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 wrapText="1"/>
    </xf>
    <xf numFmtId="0" fontId="7" fillId="2" borderId="95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0" fontId="6" fillId="0" borderId="87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vertical="center" wrapText="1"/>
    </xf>
    <xf numFmtId="0" fontId="36" fillId="0" borderId="40" xfId="0" applyFont="1" applyFill="1" applyBorder="1" applyAlignment="1">
      <alignment horizontal="center" vertical="center" wrapText="1"/>
    </xf>
    <xf numFmtId="0" fontId="36" fillId="0" borderId="47" xfId="0" applyFont="1" applyFill="1" applyBorder="1" applyAlignment="1">
      <alignment horizontal="center" vertical="center" wrapText="1"/>
    </xf>
    <xf numFmtId="0" fontId="36" fillId="0" borderId="46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5" fillId="16" borderId="81" xfId="2" applyFont="1" applyFill="1" applyBorder="1" applyAlignment="1">
      <alignment horizontal="center" vertical="center" wrapText="1"/>
    </xf>
    <xf numFmtId="0" fontId="5" fillId="16" borderId="6" xfId="2" applyFont="1" applyFill="1" applyBorder="1" applyAlignment="1">
      <alignment horizontal="center" vertical="center" wrapText="1"/>
    </xf>
    <xf numFmtId="0" fontId="5" fillId="16" borderId="31" xfId="2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7" xfId="0" quotePrefix="1" applyFont="1" applyFill="1" applyBorder="1" applyAlignment="1">
      <alignment horizontal="center" vertical="center"/>
    </xf>
    <xf numFmtId="0" fontId="49" fillId="0" borderId="4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87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88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2" xfId="0" applyFont="1" applyBorder="1" applyAlignment="1">
      <alignment horizontal="left" vertical="center"/>
    </xf>
    <xf numFmtId="0" fontId="6" fillId="16" borderId="78" xfId="0" applyFont="1" applyFill="1" applyBorder="1" applyAlignment="1">
      <alignment horizontal="center" vertical="center" wrapText="1"/>
    </xf>
    <xf numFmtId="0" fontId="28" fillId="16" borderId="69" xfId="0" applyFont="1" applyFill="1" applyBorder="1" applyAlignment="1">
      <alignment horizontal="center" vertical="center" wrapText="1"/>
    </xf>
    <xf numFmtId="0" fontId="28" fillId="16" borderId="59" xfId="0" applyFont="1" applyFill="1" applyBorder="1" applyAlignment="1">
      <alignment horizontal="center" vertical="center" wrapText="1"/>
    </xf>
    <xf numFmtId="0" fontId="28" fillId="16" borderId="63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28" fillId="2" borderId="63" xfId="0" applyFont="1" applyFill="1" applyBorder="1" applyAlignment="1">
      <alignment horizontal="center" vertical="center" wrapText="1"/>
    </xf>
    <xf numFmtId="3" fontId="7" fillId="12" borderId="59" xfId="0" applyNumberFormat="1" applyFont="1" applyFill="1" applyBorder="1" applyAlignment="1">
      <alignment horizontal="center" vertical="center" wrapText="1"/>
    </xf>
    <xf numFmtId="3" fontId="7" fillId="12" borderId="63" xfId="0" applyNumberFormat="1" applyFont="1" applyFill="1" applyBorder="1" applyAlignment="1">
      <alignment horizontal="center" vertical="center" wrapText="1"/>
    </xf>
    <xf numFmtId="3" fontId="7" fillId="12" borderId="69" xfId="0" applyNumberFormat="1" applyFont="1" applyFill="1" applyBorder="1" applyAlignment="1">
      <alignment horizontal="center" vertical="center" wrapText="1"/>
    </xf>
    <xf numFmtId="0" fontId="6" fillId="0" borderId="97" xfId="0" applyFont="1" applyFill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35" fillId="12" borderId="17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6" borderId="69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8" fillId="2" borderId="95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2" fillId="0" borderId="57" xfId="0" quotePrefix="1" applyFont="1" applyFill="1" applyBorder="1" applyAlignment="1">
      <alignment horizontal="center" vertical="center"/>
    </xf>
    <xf numFmtId="0" fontId="22" fillId="0" borderId="61" xfId="0" quotePrefix="1" applyFont="1" applyFill="1" applyBorder="1" applyAlignment="1">
      <alignment horizontal="center" vertical="center"/>
    </xf>
    <xf numFmtId="0" fontId="22" fillId="0" borderId="67" xfId="0" quotePrefix="1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6" fillId="2" borderId="69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0" borderId="95" xfId="0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7" xfId="0" quotePrefix="1" applyFont="1" applyFill="1" applyBorder="1" applyAlignment="1">
      <alignment horizontal="center" vertical="center"/>
    </xf>
    <xf numFmtId="0" fontId="22" fillId="0" borderId="7" xfId="0" quotePrefix="1" applyFont="1" applyFill="1" applyBorder="1" applyAlignment="1">
      <alignment horizontal="center" vertical="center"/>
    </xf>
    <xf numFmtId="0" fontId="22" fillId="0" borderId="11" xfId="0" quotePrefix="1" applyFont="1" applyFill="1" applyBorder="1" applyAlignment="1">
      <alignment horizontal="center" vertical="center"/>
    </xf>
    <xf numFmtId="0" fontId="16" fillId="0" borderId="69" xfId="0" applyFont="1" applyFill="1" applyBorder="1" applyAlignment="1">
      <alignment horizontal="center" vertical="center" wrapText="1"/>
    </xf>
    <xf numFmtId="3" fontId="7" fillId="2" borderId="80" xfId="2" applyNumberFormat="1" applyFont="1" applyFill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/>
    </xf>
    <xf numFmtId="3" fontId="7" fillId="6" borderId="88" xfId="0" applyNumberFormat="1" applyFont="1" applyFill="1" applyBorder="1" applyAlignment="1">
      <alignment horizontal="center" vertical="center" wrapText="1"/>
    </xf>
    <xf numFmtId="3" fontId="7" fillId="6" borderId="92" xfId="0" applyNumberFormat="1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67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 wrapText="1"/>
    </xf>
    <xf numFmtId="0" fontId="16" fillId="0" borderId="88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center" vertical="center" wrapText="1"/>
    </xf>
    <xf numFmtId="3" fontId="7" fillId="2" borderId="23" xfId="2" applyNumberFormat="1" applyFont="1" applyFill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/>
    </xf>
    <xf numFmtId="0" fontId="22" fillId="6" borderId="7" xfId="0" applyFont="1" applyFill="1" applyBorder="1" applyAlignment="1">
      <alignment vertical="top"/>
    </xf>
    <xf numFmtId="0" fontId="27" fillId="6" borderId="64" xfId="2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5" fillId="0" borderId="34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27" fillId="6" borderId="70" xfId="2" applyFont="1" applyFill="1" applyBorder="1" applyAlignment="1">
      <alignment horizontal="center" vertical="center"/>
    </xf>
    <xf numFmtId="0" fontId="25" fillId="0" borderId="44" xfId="0" applyFont="1" applyBorder="1" applyAlignment="1">
      <alignment horizontal="center" vertical="top"/>
    </xf>
    <xf numFmtId="0" fontId="25" fillId="0" borderId="37" xfId="0" applyFont="1" applyBorder="1" applyAlignment="1">
      <alignment horizontal="center" vertical="top"/>
    </xf>
    <xf numFmtId="0" fontId="36" fillId="16" borderId="5" xfId="2" applyFont="1" applyFill="1" applyBorder="1" applyAlignment="1">
      <alignment horizontal="center" vertical="center" wrapText="1"/>
    </xf>
    <xf numFmtId="0" fontId="36" fillId="16" borderId="13" xfId="2" applyFont="1" applyFill="1" applyBorder="1" applyAlignment="1">
      <alignment horizontal="center" vertical="center" wrapText="1"/>
    </xf>
    <xf numFmtId="0" fontId="30" fillId="2" borderId="46" xfId="0" applyFont="1" applyFill="1" applyBorder="1" applyAlignment="1">
      <alignment vertical="center"/>
    </xf>
    <xf numFmtId="0" fontId="40" fillId="0" borderId="12" xfId="0" applyFont="1" applyBorder="1" applyAlignment="1">
      <alignment vertical="center"/>
    </xf>
    <xf numFmtId="0" fontId="40" fillId="0" borderId="92" xfId="0" applyFont="1" applyBorder="1" applyAlignment="1">
      <alignment vertical="center"/>
    </xf>
    <xf numFmtId="0" fontId="7" fillId="6" borderId="17" xfId="0" applyFont="1" applyFill="1" applyBorder="1" applyAlignment="1">
      <alignment vertical="center"/>
    </xf>
    <xf numFmtId="0" fontId="1" fillId="0" borderId="7" xfId="0" applyFont="1" applyBorder="1" applyAlignment="1"/>
    <xf numFmtId="0" fontId="1" fillId="0" borderId="11" xfId="0" applyFont="1" applyBorder="1" applyAlignment="1"/>
    <xf numFmtId="0" fontId="27" fillId="6" borderId="63" xfId="2" applyFont="1" applyFill="1" applyBorder="1" applyAlignment="1">
      <alignment horizontal="left" vertical="center"/>
    </xf>
    <xf numFmtId="0" fontId="8" fillId="0" borderId="69" xfId="0" applyFont="1" applyBorder="1" applyAlignment="1"/>
    <xf numFmtId="0" fontId="28" fillId="0" borderId="17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5" fillId="0" borderId="54" xfId="2" applyFont="1" applyFill="1" applyBorder="1" applyAlignment="1">
      <alignment horizontal="center" vertical="center" wrapText="1"/>
    </xf>
    <xf numFmtId="0" fontId="5" fillId="0" borderId="127" xfId="2" applyFont="1" applyFill="1" applyBorder="1" applyAlignment="1">
      <alignment horizontal="center" vertical="center" wrapText="1"/>
    </xf>
    <xf numFmtId="0" fontId="5" fillId="0" borderId="90" xfId="2" applyFont="1" applyFill="1" applyBorder="1" applyAlignment="1">
      <alignment horizontal="center" vertical="center" wrapText="1"/>
    </xf>
    <xf numFmtId="0" fontId="6" fillId="0" borderId="17" xfId="2" quotePrefix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5" fillId="0" borderId="87" xfId="2" applyFont="1" applyFill="1" applyBorder="1" applyAlignment="1">
      <alignment horizontal="center" vertical="center" wrapText="1"/>
    </xf>
    <xf numFmtId="0" fontId="5" fillId="0" borderId="88" xfId="2" applyFont="1" applyFill="1" applyBorder="1" applyAlignment="1">
      <alignment horizontal="center" vertical="center" wrapText="1"/>
    </xf>
    <xf numFmtId="0" fontId="5" fillId="0" borderId="92" xfId="2" applyFont="1" applyFill="1" applyBorder="1" applyAlignment="1">
      <alignment horizontal="center" vertical="center" wrapText="1"/>
    </xf>
    <xf numFmtId="0" fontId="7" fillId="2" borderId="62" xfId="2" applyFont="1" applyFill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16" fillId="0" borderId="54" xfId="2" applyFont="1" applyFill="1" applyBorder="1" applyAlignment="1">
      <alignment horizontal="center" vertical="center" wrapText="1"/>
    </xf>
    <xf numFmtId="0" fontId="16" fillId="0" borderId="127" xfId="2" applyFont="1" applyFill="1" applyBorder="1" applyAlignment="1">
      <alignment horizontal="center" vertical="center" wrapText="1"/>
    </xf>
    <xf numFmtId="0" fontId="16" fillId="0" borderId="130" xfId="2" applyFont="1" applyFill="1" applyBorder="1" applyAlignment="1">
      <alignment horizontal="center" vertical="center" wrapText="1"/>
    </xf>
    <xf numFmtId="0" fontId="8" fillId="0" borderId="64" xfId="0" applyFont="1" applyBorder="1"/>
    <xf numFmtId="0" fontId="8" fillId="0" borderId="69" xfId="0" applyFont="1" applyBorder="1" applyAlignment="1">
      <alignment horizontal="center" wrapText="1"/>
    </xf>
    <xf numFmtId="0" fontId="16" fillId="2" borderId="87" xfId="0" quotePrefix="1" applyFont="1" applyFill="1" applyBorder="1" applyAlignment="1">
      <alignment horizontal="center" vertical="top"/>
    </xf>
    <xf numFmtId="0" fontId="16" fillId="2" borderId="88" xfId="0" quotePrefix="1" applyFont="1" applyFill="1" applyBorder="1" applyAlignment="1">
      <alignment horizontal="center" vertical="top"/>
    </xf>
    <xf numFmtId="0" fontId="16" fillId="2" borderId="92" xfId="0" quotePrefix="1" applyFont="1" applyFill="1" applyBorder="1" applyAlignment="1">
      <alignment horizontal="center" vertical="top"/>
    </xf>
    <xf numFmtId="0" fontId="6" fillId="0" borderId="5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1" fillId="0" borderId="11" xfId="0" applyFont="1" applyBorder="1"/>
    <xf numFmtId="0" fontId="16" fillId="0" borderId="87" xfId="2" applyFont="1" applyFill="1" applyBorder="1" applyAlignment="1">
      <alignment horizontal="center" vertical="center" wrapText="1"/>
    </xf>
    <xf numFmtId="0" fontId="16" fillId="0" borderId="88" xfId="2" applyFont="1" applyFill="1" applyBorder="1" applyAlignment="1">
      <alignment horizontal="center" vertical="center" wrapText="1"/>
    </xf>
    <xf numFmtId="0" fontId="16" fillId="0" borderId="92" xfId="2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wrapText="1"/>
    </xf>
    <xf numFmtId="0" fontId="7" fillId="2" borderId="55" xfId="2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/>
    </xf>
    <xf numFmtId="0" fontId="5" fillId="0" borderId="130" xfId="2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wrapText="1" shrinkToFit="1"/>
    </xf>
    <xf numFmtId="0" fontId="8" fillId="0" borderId="55" xfId="0" applyFont="1" applyBorder="1" applyAlignment="1">
      <alignment horizontal="center" wrapText="1" shrinkToFit="1"/>
    </xf>
    <xf numFmtId="0" fontId="8" fillId="0" borderId="105" xfId="0" applyFont="1" applyBorder="1" applyAlignment="1">
      <alignment horizontal="center" wrapText="1" shrinkToFit="1"/>
    </xf>
    <xf numFmtId="0" fontId="6" fillId="0" borderId="26" xfId="2" applyFont="1" applyFill="1" applyBorder="1" applyAlignment="1">
      <alignment horizontal="center" vertical="center"/>
    </xf>
    <xf numFmtId="0" fontId="5" fillId="0" borderId="89" xfId="2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6" fillId="0" borderId="79" xfId="2" applyFont="1" applyFill="1" applyBorder="1" applyAlignment="1">
      <alignment horizontal="center" vertical="center"/>
    </xf>
    <xf numFmtId="0" fontId="6" fillId="0" borderId="67" xfId="2" applyFont="1" applyFill="1" applyBorder="1" applyAlignment="1">
      <alignment horizontal="center" vertical="center"/>
    </xf>
    <xf numFmtId="0" fontId="5" fillId="0" borderId="84" xfId="2" applyFont="1" applyFill="1" applyBorder="1" applyAlignment="1">
      <alignment horizontal="center" vertical="center" wrapText="1"/>
    </xf>
    <xf numFmtId="0" fontId="5" fillId="0" borderId="85" xfId="2" applyFont="1" applyFill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7" fillId="2" borderId="56" xfId="2" applyFont="1" applyFill="1" applyBorder="1" applyAlignment="1">
      <alignment horizontal="center" vertical="center" wrapText="1"/>
    </xf>
    <xf numFmtId="0" fontId="7" fillId="2" borderId="10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/>
    </xf>
    <xf numFmtId="0" fontId="6" fillId="0" borderId="57" xfId="2" applyFont="1" applyFill="1" applyBorder="1" applyAlignment="1">
      <alignment horizontal="center" vertical="center"/>
    </xf>
    <xf numFmtId="0" fontId="6" fillId="0" borderId="61" xfId="2" applyFont="1" applyFill="1" applyBorder="1" applyAlignment="1">
      <alignment horizontal="center" vertical="center"/>
    </xf>
    <xf numFmtId="0" fontId="1" fillId="0" borderId="67" xfId="0" applyFont="1" applyBorder="1"/>
    <xf numFmtId="0" fontId="5" fillId="0" borderId="97" xfId="2" applyFont="1" applyFill="1" applyBorder="1" applyAlignment="1">
      <alignment horizontal="center" vertical="center" wrapText="1"/>
    </xf>
    <xf numFmtId="0" fontId="5" fillId="0" borderId="125" xfId="2" applyFont="1" applyFill="1" applyBorder="1" applyAlignment="1">
      <alignment horizontal="center" vertical="center" wrapText="1"/>
    </xf>
    <xf numFmtId="0" fontId="5" fillId="0" borderId="65" xfId="2" applyFont="1" applyFill="1" applyBorder="1" applyAlignment="1">
      <alignment horizontal="center" vertical="center" wrapText="1"/>
    </xf>
    <xf numFmtId="0" fontId="6" fillId="2" borderId="64" xfId="2" applyFont="1" applyFill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127" xfId="0" applyFont="1" applyBorder="1" applyAlignment="1">
      <alignment horizontal="center" vertical="center" wrapText="1"/>
    </xf>
    <xf numFmtId="0" fontId="16" fillId="0" borderId="130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8" fillId="0" borderId="97" xfId="0" applyFont="1" applyBorder="1"/>
    <xf numFmtId="0" fontId="7" fillId="2" borderId="64" xfId="2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6" fillId="2" borderId="70" xfId="2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top"/>
    </xf>
    <xf numFmtId="0" fontId="16" fillId="0" borderId="37" xfId="0" applyFont="1" applyBorder="1" applyAlignment="1">
      <alignment horizontal="center" vertical="top"/>
    </xf>
    <xf numFmtId="0" fontId="7" fillId="0" borderId="88" xfId="2" applyFont="1" applyBorder="1" applyAlignment="1">
      <alignment horizontal="center" vertical="center" wrapText="1"/>
    </xf>
    <xf numFmtId="0" fontId="7" fillId="0" borderId="92" xfId="2" applyFont="1" applyBorder="1" applyAlignment="1">
      <alignment horizontal="center" vertical="center" wrapText="1"/>
    </xf>
    <xf numFmtId="0" fontId="7" fillId="2" borderId="63" xfId="2" applyFont="1" applyFill="1" applyBorder="1" applyAlignment="1">
      <alignment horizontal="center" vertical="center" wrapText="1" shrinkToFit="1"/>
    </xf>
    <xf numFmtId="0" fontId="8" fillId="0" borderId="63" xfId="0" applyFont="1" applyBorder="1" applyAlignment="1">
      <alignment horizontal="center" wrapText="1" shrinkToFit="1"/>
    </xf>
    <xf numFmtId="0" fontId="8" fillId="0" borderId="70" xfId="0" applyFont="1" applyBorder="1" applyAlignment="1">
      <alignment horizontal="center" wrapText="1" shrinkToFit="1"/>
    </xf>
    <xf numFmtId="0" fontId="6" fillId="0" borderId="101" xfId="2" applyFont="1" applyFill="1" applyBorder="1" applyAlignment="1">
      <alignment horizontal="center" vertical="center"/>
    </xf>
    <xf numFmtId="0" fontId="6" fillId="0" borderId="71" xfId="2" applyFont="1" applyFill="1" applyBorder="1" applyAlignment="1">
      <alignment horizontal="center" vertical="center"/>
    </xf>
    <xf numFmtId="0" fontId="1" fillId="0" borderId="72" xfId="0" applyFont="1" applyBorder="1"/>
    <xf numFmtId="0" fontId="8" fillId="0" borderId="63" xfId="0" applyFont="1" applyBorder="1"/>
    <xf numFmtId="0" fontId="8" fillId="0" borderId="69" xfId="0" applyFont="1" applyBorder="1"/>
    <xf numFmtId="3" fontId="5" fillId="0" borderId="87" xfId="2" applyNumberFormat="1" applyFont="1" applyFill="1" applyBorder="1" applyAlignment="1">
      <alignment horizontal="center" vertical="center" wrapText="1"/>
    </xf>
    <xf numFmtId="0" fontId="27" fillId="6" borderId="6" xfId="2" applyFont="1" applyFill="1" applyBorder="1" applyAlignment="1">
      <alignment horizontal="left" vertical="center"/>
    </xf>
    <xf numFmtId="0" fontId="8" fillId="0" borderId="78" xfId="0" applyFont="1" applyBorder="1" applyAlignment="1"/>
    <xf numFmtId="0" fontId="40" fillId="0" borderId="35" xfId="0" applyFont="1" applyBorder="1" applyAlignment="1">
      <alignment vertical="center" wrapText="1"/>
    </xf>
    <xf numFmtId="0" fontId="40" fillId="0" borderId="97" xfId="0" applyFont="1" applyBorder="1" applyAlignment="1">
      <alignment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36" fillId="0" borderId="5" xfId="2" applyFont="1" applyFill="1" applyBorder="1" applyAlignment="1">
      <alignment horizontal="center" vertical="center" wrapText="1"/>
    </xf>
    <xf numFmtId="0" fontId="36" fillId="0" borderId="13" xfId="2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 wrapText="1"/>
    </xf>
    <xf numFmtId="0" fontId="6" fillId="16" borderId="17" xfId="2" applyFont="1" applyFill="1" applyBorder="1" applyAlignment="1">
      <alignment horizontal="center" vertical="top"/>
    </xf>
    <xf numFmtId="0" fontId="1" fillId="16" borderId="7" xfId="0" applyFont="1" applyFill="1" applyBorder="1" applyAlignment="1">
      <alignment horizontal="center" vertical="top"/>
    </xf>
    <xf numFmtId="3" fontId="5" fillId="6" borderId="81" xfId="2" applyNumberFormat="1" applyFont="1" applyFill="1" applyBorder="1" applyAlignment="1">
      <alignment horizontal="center" vertical="center"/>
    </xf>
    <xf numFmtId="3" fontId="5" fillId="6" borderId="6" xfId="2" applyNumberFormat="1" applyFont="1" applyFill="1" applyBorder="1" applyAlignment="1">
      <alignment horizontal="center" vertical="center"/>
    </xf>
    <xf numFmtId="3" fontId="5" fillId="6" borderId="31" xfId="2" applyNumberFormat="1" applyFont="1" applyFill="1" applyBorder="1" applyAlignment="1">
      <alignment horizontal="center" vertical="center"/>
    </xf>
    <xf numFmtId="3" fontId="14" fillId="6" borderId="74" xfId="2" applyNumberFormat="1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6" fillId="6" borderId="17" xfId="2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27" fillId="6" borderId="74" xfId="2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left" vertical="top" wrapText="1"/>
    </xf>
    <xf numFmtId="0" fontId="37" fillId="2" borderId="13" xfId="0" applyFont="1" applyFill="1" applyBorder="1" applyAlignment="1">
      <alignment horizontal="left" vertical="top" wrapText="1"/>
    </xf>
    <xf numFmtId="0" fontId="40" fillId="0" borderId="13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7" fillId="0" borderId="5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63" xfId="0" applyFont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top"/>
    </xf>
    <xf numFmtId="0" fontId="30" fillId="2" borderId="46" xfId="0" applyFont="1" applyFill="1" applyBorder="1" applyAlignment="1">
      <alignment horizontal="left" vertical="top" wrapText="1"/>
    </xf>
    <xf numFmtId="0" fontId="37" fillId="2" borderId="12" xfId="0" applyFont="1" applyFill="1" applyBorder="1" applyAlignment="1">
      <alignment horizontal="left" vertical="top" wrapText="1"/>
    </xf>
    <xf numFmtId="0" fontId="40" fillId="0" borderId="12" xfId="0" applyFont="1" applyBorder="1" applyAlignment="1">
      <alignment vertical="top"/>
    </xf>
    <xf numFmtId="0" fontId="40" fillId="0" borderId="92" xfId="0" applyFont="1" applyBorder="1" applyAlignment="1">
      <alignment vertical="top"/>
    </xf>
    <xf numFmtId="0" fontId="7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/>
    </xf>
    <xf numFmtId="43" fontId="15" fillId="2" borderId="30" xfId="1" quotePrefix="1" applyFont="1" applyFill="1" applyBorder="1" applyAlignment="1">
      <alignment vertical="center"/>
    </xf>
    <xf numFmtId="43" fontId="15" fillId="2" borderId="15" xfId="1" quotePrefix="1" applyFont="1" applyFill="1" applyBorder="1" applyAlignment="1">
      <alignment vertical="center"/>
    </xf>
    <xf numFmtId="43" fontId="15" fillId="2" borderId="31" xfId="1" quotePrefix="1" applyFont="1" applyFill="1" applyBorder="1" applyAlignment="1">
      <alignment vertical="center"/>
    </xf>
    <xf numFmtId="43" fontId="39" fillId="0" borderId="33" xfId="1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 2" xfId="4"/>
    <cellStyle name="Normalny_Kopia WPI_zest_u_marszal_05_09_06_nowe" xfId="2"/>
    <cellStyle name="Normalny_WPI Drogi i Transport 2007-2010_DIN" xfId="3"/>
  </cellStyles>
  <dxfs count="0"/>
  <tableStyles count="0" defaultTableStyle="TableStyleMedium2" defaultPivotStyle="PivotStyleLight16"/>
  <colors>
    <mruColors>
      <color rgb="FF0000FF"/>
      <color rgb="FFCCFFCC"/>
      <color rgb="FFFF00FF"/>
      <color rgb="FFFFFF99"/>
      <color rgb="FFBCF4FA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71</xdr:row>
      <xdr:rowOff>0</xdr:rowOff>
    </xdr:from>
    <xdr:to>
      <xdr:col>18</xdr:col>
      <xdr:colOff>0</xdr:colOff>
      <xdr:row>71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544925" y="157353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 rot="4832260">
          <a:off x="14963775" y="7858125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T430"/>
  <sheetViews>
    <sheetView showGridLines="0" tabSelected="1" view="pageBreakPreview" zoomScaleNormal="100" zoomScaleSheetLayoutView="100" workbookViewId="0"/>
  </sheetViews>
  <sheetFormatPr defaultRowHeight="12.75" x14ac:dyDescent="0.2"/>
  <cols>
    <col min="1" max="1" width="4.42578125" style="1" customWidth="1"/>
    <col min="2" max="2" width="46.140625" style="2" customWidth="1"/>
    <col min="3" max="3" width="14.28515625" style="2" customWidth="1"/>
    <col min="4" max="4" width="12.28515625" style="2" hidden="1" customWidth="1"/>
    <col min="5" max="5" width="13.140625" style="21" hidden="1" customWidth="1"/>
    <col min="6" max="6" width="12.7109375" style="3" customWidth="1"/>
    <col min="7" max="7" width="15" style="3" customWidth="1"/>
    <col min="8" max="8" width="14.5703125" style="3" customWidth="1"/>
    <col min="9" max="9" width="9.85546875" style="3" customWidth="1"/>
    <col min="10" max="10" width="12.7109375" style="3" customWidth="1"/>
    <col min="11" max="11" width="11.85546875" style="3" customWidth="1"/>
    <col min="12" max="12" width="13.28515625" style="207" hidden="1" customWidth="1"/>
    <col min="13" max="13" width="12" style="2" hidden="1" customWidth="1"/>
    <col min="14" max="14" width="15.140625" style="2" hidden="1" customWidth="1"/>
    <col min="15" max="15" width="16" style="2" customWidth="1"/>
    <col min="16" max="16" width="16.85546875" style="2" customWidth="1"/>
    <col min="17" max="17" width="15.85546875" style="2" customWidth="1"/>
    <col min="18" max="18" width="19.140625" style="2" bestFit="1" customWidth="1"/>
    <col min="19" max="19" width="3.85546875" style="2" customWidth="1"/>
    <col min="20" max="20" width="18" style="2" customWidth="1"/>
    <col min="21" max="16384" width="9.140625" style="2"/>
  </cols>
  <sheetData>
    <row r="1" spans="1:20" ht="18.75" x14ac:dyDescent="0.3">
      <c r="E1" s="3"/>
      <c r="H1" s="28"/>
      <c r="I1" s="28"/>
      <c r="J1" s="3066" t="s">
        <v>372</v>
      </c>
      <c r="K1" s="3066"/>
      <c r="L1" s="3066"/>
    </row>
    <row r="2" spans="1:20" ht="28.5" customHeight="1" x14ac:dyDescent="0.2">
      <c r="E2" s="3"/>
      <c r="H2" s="29"/>
      <c r="I2" s="29"/>
      <c r="J2" s="29"/>
      <c r="K2" s="29"/>
      <c r="L2" s="29"/>
    </row>
    <row r="3" spans="1:20" ht="94.5" customHeight="1" thickBot="1" x14ac:dyDescent="0.4">
      <c r="A3" s="3067" t="s">
        <v>348</v>
      </c>
      <c r="B3" s="3067"/>
      <c r="C3" s="3067"/>
      <c r="D3" s="3067"/>
      <c r="E3" s="3067"/>
      <c r="F3" s="3067"/>
      <c r="G3" s="3067"/>
      <c r="H3" s="3067"/>
      <c r="I3" s="3067"/>
      <c r="J3" s="3067"/>
      <c r="K3" s="3067"/>
      <c r="L3" s="3067"/>
    </row>
    <row r="4" spans="1:20" ht="39.7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19"/>
      <c r="N4" s="31"/>
    </row>
    <row r="5" spans="1:20" ht="38.25" customHeight="1" thickBot="1" x14ac:dyDescent="0.25">
      <c r="A5" s="3068" t="s">
        <v>259</v>
      </c>
      <c r="B5" s="3068"/>
      <c r="C5" s="3068"/>
      <c r="D5" s="3068"/>
      <c r="E5" s="3068"/>
      <c r="F5" s="3068"/>
      <c r="G5" s="3068"/>
      <c r="H5" s="3068"/>
      <c r="I5" s="3068"/>
      <c r="J5" s="3068"/>
      <c r="K5" s="3068"/>
      <c r="L5" s="3068"/>
      <c r="M5" s="3"/>
      <c r="N5" s="32"/>
    </row>
    <row r="6" spans="1:20" s="3" customFormat="1" ht="36" customHeight="1" x14ac:dyDescent="0.2">
      <c r="A6" s="3034" t="s">
        <v>1</v>
      </c>
      <c r="B6" s="3035"/>
      <c r="C6" s="3026" t="s">
        <v>354</v>
      </c>
      <c r="D6" s="3027"/>
      <c r="E6" s="3027"/>
      <c r="F6" s="3027"/>
      <c r="G6" s="3028"/>
      <c r="H6" s="3026" t="s">
        <v>351</v>
      </c>
      <c r="I6" s="3027"/>
      <c r="J6" s="3027"/>
      <c r="K6" s="3028"/>
      <c r="L6" s="3080" t="s">
        <v>343</v>
      </c>
      <c r="N6" s="32"/>
    </row>
    <row r="7" spans="1:20" ht="32.25" customHeight="1" x14ac:dyDescent="0.2">
      <c r="A7" s="3036"/>
      <c r="B7" s="3037"/>
      <c r="C7" s="3031" t="s">
        <v>0</v>
      </c>
      <c r="D7" s="3072" t="s">
        <v>360</v>
      </c>
      <c r="E7" s="3075" t="s">
        <v>361</v>
      </c>
      <c r="F7" s="3029" t="s">
        <v>257</v>
      </c>
      <c r="G7" s="3030"/>
      <c r="H7" s="3063" t="s">
        <v>350</v>
      </c>
      <c r="I7" s="3069" t="s">
        <v>352</v>
      </c>
      <c r="J7" s="3070"/>
      <c r="K7" s="3071"/>
      <c r="L7" s="3081"/>
      <c r="M7" s="3"/>
      <c r="N7" s="32"/>
      <c r="O7" s="582"/>
    </row>
    <row r="8" spans="1:20" ht="33" customHeight="1" x14ac:dyDescent="0.2">
      <c r="A8" s="3036"/>
      <c r="B8" s="3037"/>
      <c r="C8" s="3032"/>
      <c r="D8" s="3073"/>
      <c r="E8" s="3076"/>
      <c r="F8" s="3059" t="s">
        <v>349</v>
      </c>
      <c r="G8" s="3061" t="s">
        <v>355</v>
      </c>
      <c r="H8" s="3064"/>
      <c r="I8" s="3083" t="s">
        <v>345</v>
      </c>
      <c r="J8" s="3078" t="s">
        <v>353</v>
      </c>
      <c r="K8" s="3044" t="s">
        <v>344</v>
      </c>
      <c r="L8" s="3081"/>
      <c r="M8" s="3"/>
      <c r="N8" s="32"/>
    </row>
    <row r="9" spans="1:20" ht="54" customHeight="1" x14ac:dyDescent="0.2">
      <c r="A9" s="3038"/>
      <c r="B9" s="3039"/>
      <c r="C9" s="3033"/>
      <c r="D9" s="3074"/>
      <c r="E9" s="3077"/>
      <c r="F9" s="3060"/>
      <c r="G9" s="3062"/>
      <c r="H9" s="3065"/>
      <c r="I9" s="3084"/>
      <c r="J9" s="3079"/>
      <c r="K9" s="3045"/>
      <c r="L9" s="3082"/>
      <c r="M9" s="18"/>
      <c r="N9" s="32"/>
    </row>
    <row r="10" spans="1:20" ht="13.5" customHeight="1" x14ac:dyDescent="0.2">
      <c r="A10" s="3040">
        <v>1</v>
      </c>
      <c r="B10" s="3041"/>
      <c r="C10" s="535">
        <v>2</v>
      </c>
      <c r="D10" s="521"/>
      <c r="E10" s="522"/>
      <c r="F10" s="523">
        <v>3</v>
      </c>
      <c r="G10" s="524">
        <v>4</v>
      </c>
      <c r="H10" s="525">
        <v>5</v>
      </c>
      <c r="I10" s="526">
        <v>6</v>
      </c>
      <c r="J10" s="526">
        <v>7</v>
      </c>
      <c r="K10" s="527">
        <v>8</v>
      </c>
      <c r="L10" s="528">
        <v>9</v>
      </c>
      <c r="M10" s="33"/>
      <c r="N10" s="34"/>
      <c r="O10" s="35"/>
    </row>
    <row r="11" spans="1:20" ht="16.5" customHeight="1" thickBot="1" x14ac:dyDescent="0.25">
      <c r="A11" s="3042" t="s">
        <v>162</v>
      </c>
      <c r="B11" s="3043"/>
      <c r="C11" s="513">
        <f t="shared" ref="C11" si="0">C12+C13</f>
        <v>1359261361.4000001</v>
      </c>
      <c r="D11" s="514">
        <f t="shared" ref="D11:G11" si="1">D12+D13</f>
        <v>649823074.39999998</v>
      </c>
      <c r="E11" s="514">
        <f t="shared" si="1"/>
        <v>243913363</v>
      </c>
      <c r="F11" s="514">
        <f t="shared" si="1"/>
        <v>305890953</v>
      </c>
      <c r="G11" s="515">
        <f t="shared" si="1"/>
        <v>159633971</v>
      </c>
      <c r="H11" s="516">
        <f>H12+H13</f>
        <v>914382592.13999987</v>
      </c>
      <c r="I11" s="517">
        <f>H11/C11*100</f>
        <v>67.270549881460042</v>
      </c>
      <c r="J11" s="518">
        <f>J12+J13</f>
        <v>24942499.740000002</v>
      </c>
      <c r="K11" s="519">
        <f>J11/F11*100</f>
        <v>8.1540495053477446</v>
      </c>
      <c r="L11" s="520">
        <f>L12+L13</f>
        <v>-279713398.25999999</v>
      </c>
      <c r="M11" s="36">
        <f>+J11-F11</f>
        <v>-280948453.25999999</v>
      </c>
      <c r="N11" s="37">
        <f>+L11-M11</f>
        <v>1235055</v>
      </c>
      <c r="O11" s="35"/>
    </row>
    <row r="12" spans="1:20" ht="15.75" customHeight="1" thickTop="1" x14ac:dyDescent="0.2">
      <c r="A12" s="17"/>
      <c r="B12" s="38" t="s">
        <v>163</v>
      </c>
      <c r="C12" s="39">
        <f>Drogi!D12+'Polityka społeczna i rozwój prz'!D10+Oświata!D11+Administracja!D11+'Rolnictwo i Ochrona środowiska'!D10+'Kultura fizyczna i turystyka'!D12+'Planowanie przestrzenne'!D12</f>
        <v>334113462.69999999</v>
      </c>
      <c r="D12" s="40">
        <f>Drogi!E12+'Polityka społeczna i rozwój prz'!E10+Oświata!E11+Administracja!E11+'Rolnictwo i Ochrona środowiska'!E10+'Kultura fizyczna i turystyka'!E12+'Planowanie przestrzenne'!E12</f>
        <v>154776276.69999999</v>
      </c>
      <c r="E12" s="40">
        <f>Drogi!F12+'Polityka społeczna i rozwój prz'!F10+Oświata!F11+Administracja!F11+'Rolnictwo i Ochrona środowiska'!F10+'Kultura fizyczna i turystyka'!F12+'Planowanie przestrzenne'!F12</f>
        <v>53799707</v>
      </c>
      <c r="F12" s="40">
        <f>Drogi!G12+'Polityka społeczna i rozwój prz'!G10+Oświata!G11+Administracja!G11+'Rolnictwo i Ochrona środowiska'!G10+'Kultura fizyczna i turystyka'!G12+'Planowanie przestrzenne'!G12</f>
        <v>81833484</v>
      </c>
      <c r="G12" s="41">
        <f>Drogi!H12+'Polityka społeczna i rozwój prz'!H10+Oświata!H11+Administracja!H11+'Rolnictwo i Ochrona środowiska'!H10+'Kultura fizyczna i turystyka'!H12+'Planowanie przestrzenne'!H12</f>
        <v>43703995</v>
      </c>
      <c r="H12" s="42">
        <f>Drogi!I12+'Polityka społeczna i rozwój prz'!I10+Oświata!I11+Administracja!I11+'Rolnictwo i Ochrona środowiska'!I10+'Kultura fizyczna i turystyka'!I12+'Planowanie przestrzenne'!I12</f>
        <v>215913127.79999998</v>
      </c>
      <c r="I12" s="43">
        <f t="shared" ref="I12:I41" si="2">H12/C12*100</f>
        <v>64.622696150938424</v>
      </c>
      <c r="J12" s="40">
        <f>Drogi!K12+'Polityka społeczna i rozwój prz'!K10+Oświata!K11+Administracja!K11+'Rolnictwo i Ochrona środowiska'!K10+'Kultura fizyczna i turystyka'!K12+'Planowanie przestrzenne'!K12</f>
        <v>10467144.1</v>
      </c>
      <c r="K12" s="44">
        <f t="shared" ref="K12:K18" si="3">J12/F12*100</f>
        <v>12.790783904544501</v>
      </c>
      <c r="L12" s="45">
        <f>Drogi!M12+'Polityka społeczna i rozwój prz'!M10+Oświata!M11+Administracja!M11+'Rolnictwo i Ochrona środowiska'!M10+'Kultura fizyczna i turystyka'!M12+'Planowanie przestrzenne'!M12</f>
        <v>-70131284.900000006</v>
      </c>
      <c r="M12" s="36">
        <f t="shared" ref="M12:M13" si="4">+J12-F12</f>
        <v>-71366339.900000006</v>
      </c>
      <c r="N12" s="34"/>
      <c r="O12" s="35"/>
    </row>
    <row r="13" spans="1:20" ht="13.5" customHeight="1" x14ac:dyDescent="0.2">
      <c r="A13" s="17"/>
      <c r="B13" s="487" t="s">
        <v>164</v>
      </c>
      <c r="C13" s="443">
        <f>Drogi!D13+'Polityka społeczna i rozwój prz'!D11+Oświata!D12+Administracja!D12+'Rolnictwo i Ochrona środowiska'!D11+'Kultura fizyczna i turystyka'!D13+'Planowanie przestrzenne'!D13</f>
        <v>1025147898.7</v>
      </c>
      <c r="D13" s="444">
        <f>Drogi!E13+'Polityka społeczna i rozwój prz'!E11+Oświata!E12+Administracja!E12+'Rolnictwo i Ochrona środowiska'!E11+'Kultura fizyczna i turystyka'!E13+'Planowanie przestrzenne'!E13</f>
        <v>495046797.69999999</v>
      </c>
      <c r="E13" s="444">
        <f>Drogi!F13+'Polityka społeczna i rozwój prz'!F11+Oświata!F12+Administracja!F12+'Rolnictwo i Ochrona środowiska'!F11+'Kultura fizyczna i turystyka'!F13+'Planowanie przestrzenne'!F13</f>
        <v>190113656</v>
      </c>
      <c r="F13" s="444">
        <f>Drogi!G13+'Polityka społeczna i rozwój prz'!G11+Oświata!G12+Administracja!G12+'Rolnictwo i Ochrona środowiska'!G11+'Kultura fizyczna i turystyka'!G13+'Planowanie przestrzenne'!G13</f>
        <v>224057469</v>
      </c>
      <c r="G13" s="445">
        <f>Drogi!H13+'Polityka społeczna i rozwój prz'!H11+Oświata!H12+Administracja!H12+'Rolnictwo i Ochrona środowiska'!H11+'Kultura fizyczna i turystyka'!H13+'Planowanie przestrzenne'!H13</f>
        <v>115929976</v>
      </c>
      <c r="H13" s="446">
        <f>Drogi!I13+'Polityka społeczna i rozwój prz'!I11+Oświata!I12+Administracja!I12+'Rolnictwo i Ochrona środowiska'!I11+'Kultura fizyczna i turystyka'!I13+'Planowanie przestrzenne'!I13</f>
        <v>698469464.33999991</v>
      </c>
      <c r="I13" s="447">
        <f t="shared" si="2"/>
        <v>68.133531291020134</v>
      </c>
      <c r="J13" s="444">
        <f>Drogi!K13+'Polityka społeczna i rozwój prz'!K11+Oświata!K12+Administracja!K12+'Rolnictwo i Ochrona środowiska'!K11+'Kultura fizyczna i turystyka'!K13+'Planowanie przestrzenne'!K13</f>
        <v>14475355.640000001</v>
      </c>
      <c r="K13" s="448">
        <f t="shared" si="3"/>
        <v>6.460554832028385</v>
      </c>
      <c r="L13" s="488">
        <f>Drogi!M13+'Polityka społeczna i rozwój prz'!M11+Oświata!M12+Administracja!M12+'Rolnictwo i Ochrona środowiska'!M11+'Kultura fizyczna i turystyka'!M13+'Planowanie przestrzenne'!M13</f>
        <v>-209582113.36000001</v>
      </c>
      <c r="M13" s="36">
        <f t="shared" si="4"/>
        <v>-209582113.36000001</v>
      </c>
      <c r="N13" s="34"/>
      <c r="O13" s="35"/>
    </row>
    <row r="14" spans="1:20" s="5" customFormat="1" ht="15.75" customHeight="1" x14ac:dyDescent="0.2">
      <c r="A14" s="3024" t="s">
        <v>2</v>
      </c>
      <c r="B14" s="3025"/>
      <c r="C14" s="46">
        <f>+C15+C22</f>
        <v>1359261361.4000001</v>
      </c>
      <c r="D14" s="47">
        <f t="shared" ref="D14:G14" si="5">+D15+D22</f>
        <v>649823074.39999998</v>
      </c>
      <c r="E14" s="47">
        <f t="shared" si="5"/>
        <v>243913363</v>
      </c>
      <c r="F14" s="47">
        <f t="shared" si="5"/>
        <v>305890953</v>
      </c>
      <c r="G14" s="48">
        <f t="shared" si="5"/>
        <v>159633971</v>
      </c>
      <c r="H14" s="49">
        <f>+H15+H22</f>
        <v>914382592.1400001</v>
      </c>
      <c r="I14" s="50">
        <f t="shared" si="2"/>
        <v>67.270549881460056</v>
      </c>
      <c r="J14" s="47">
        <f>+J15+J22</f>
        <v>24942499.739999998</v>
      </c>
      <c r="K14" s="51">
        <f t="shared" si="3"/>
        <v>8.1540495053477429</v>
      </c>
      <c r="L14" s="52">
        <f>+L15+L22</f>
        <v>-280948453.25999999</v>
      </c>
      <c r="M14" s="36"/>
      <c r="N14" s="37"/>
      <c r="O14" s="4"/>
      <c r="P14" s="4"/>
      <c r="Q14" s="4"/>
      <c r="R14" s="53"/>
      <c r="S14" s="53"/>
      <c r="T14" s="53"/>
    </row>
    <row r="15" spans="1:20" s="8" customFormat="1" ht="15" customHeight="1" x14ac:dyDescent="0.25">
      <c r="A15" s="461"/>
      <c r="B15" s="54" t="s">
        <v>3</v>
      </c>
      <c r="C15" s="55">
        <f>SUM(C16:C21)</f>
        <v>405894278.39999998</v>
      </c>
      <c r="D15" s="6">
        <f t="shared" ref="D15:G15" si="6">SUM(D16:D21)</f>
        <v>216684510.40000001</v>
      </c>
      <c r="E15" s="6">
        <f t="shared" si="6"/>
        <v>65118676</v>
      </c>
      <c r="F15" s="6">
        <f t="shared" si="6"/>
        <v>84883870</v>
      </c>
      <c r="G15" s="56">
        <f t="shared" si="6"/>
        <v>39207222</v>
      </c>
      <c r="H15" s="22">
        <f>SUM(H16:H21)</f>
        <v>287124648.47000003</v>
      </c>
      <c r="I15" s="57">
        <f t="shared" si="2"/>
        <v>70.738777004154997</v>
      </c>
      <c r="J15" s="6">
        <f t="shared" ref="J15" si="7">SUM(J16:J21)</f>
        <v>6313712.0699999994</v>
      </c>
      <c r="K15" s="58">
        <f t="shared" si="3"/>
        <v>7.4380586912448727</v>
      </c>
      <c r="L15" s="23">
        <f>SUM(L16:L21)</f>
        <v>-78570157.930000007</v>
      </c>
      <c r="M15" s="36"/>
      <c r="N15" s="37"/>
      <c r="O15" s="7"/>
      <c r="P15" s="7"/>
      <c r="Q15" s="7"/>
      <c r="R15" s="59"/>
      <c r="S15" s="59"/>
      <c r="T15" s="59"/>
    </row>
    <row r="16" spans="1:20" s="11" customFormat="1" ht="15.75" customHeight="1" x14ac:dyDescent="0.2">
      <c r="A16" s="461"/>
      <c r="B16" s="60" t="s">
        <v>4</v>
      </c>
      <c r="C16" s="61">
        <f>Drogi!D16+'Polityka społeczna i rozwój prz'!D14+Oświata!D15+Administracja!D15+'Rolnictwo i Ochrona środowiska'!D14+'Kultura fizyczna i turystyka'!D16+'Planowanie przestrzenne'!D16</f>
        <v>140177264</v>
      </c>
      <c r="D16" s="62">
        <f>Drogi!E16+'Polityka społeczna i rozwój prz'!E14+Oświata!E15+Administracja!E15+'Rolnictwo i Ochrona środowiska'!E14+'Kultura fizyczna i turystyka'!E16+'Planowanie przestrzenne'!E16</f>
        <v>52106624</v>
      </c>
      <c r="E16" s="62">
        <f>Drogi!F16+'Polityka społeczna i rozwój prz'!F14+Oświata!F15+Administracja!F15+'Rolnictwo i Ochrona środowiska'!F14+'Kultura fizyczna i turystyka'!F16+'Planowanie przestrzenne'!F16</f>
        <v>29860161</v>
      </c>
      <c r="F16" s="62">
        <f>Drogi!G16+'Polityka społeczna i rozwój prz'!G14+Oświata!G15+Administracja!G15+'Rolnictwo i Ochrona środowiska'!G14+'Kultura fizyczna i turystyka'!G16+'Planowanie przestrzenne'!G16</f>
        <v>41381073</v>
      </c>
      <c r="G16" s="63">
        <f>Drogi!H16+'Polityka społeczna i rozwój prz'!H14+Oświata!H15+Administracja!H15+'Rolnictwo i Ochrona środowiska'!H14+'Kultura fizyczna i turystyka'!H16+'Planowanie przestrzenne'!H16</f>
        <v>16829406</v>
      </c>
      <c r="H16" s="64">
        <f>Drogi!I16+'Polityka społeczna i rozwój prz'!I14+Oświata!I15+Administracja!I15+'Rolnictwo i Ochrona środowiska'!I14+'Kultura fizyczna i turystyka'!I16+'Planowanie przestrzenne'!I16</f>
        <v>86247207</v>
      </c>
      <c r="I16" s="65">
        <f t="shared" si="2"/>
        <v>61.527243818940569</v>
      </c>
      <c r="J16" s="66">
        <f>Drogi!K16+'Polityka społeczna i rozwój prz'!K14+Oświata!K15+Administracja!K15+'Rolnictwo i Ochrona środowiska'!K14+'Kultura fizyczna i turystyka'!K16+'Planowanie przestrzenne'!K16</f>
        <v>5028792</v>
      </c>
      <c r="K16" s="67">
        <f t="shared" si="3"/>
        <v>12.152396338296979</v>
      </c>
      <c r="L16" s="63">
        <f>+J16-F16</f>
        <v>-36352281</v>
      </c>
      <c r="M16" s="36"/>
      <c r="N16" s="37"/>
      <c r="O16" s="10"/>
      <c r="P16" s="10"/>
      <c r="Q16" s="10"/>
      <c r="R16" s="68"/>
      <c r="T16" s="68"/>
    </row>
    <row r="17" spans="1:20" s="11" customFormat="1" ht="15.75" customHeight="1" x14ac:dyDescent="0.2">
      <c r="A17" s="461"/>
      <c r="B17" s="69" t="s">
        <v>7</v>
      </c>
      <c r="C17" s="61">
        <f>Drogi!D17+'Polityka społeczna i rozwój prz'!D15+Administracja!D16+'Rolnictwo i Ochrona środowiska'!D15</f>
        <v>50786842</v>
      </c>
      <c r="D17" s="62">
        <f>Drogi!E17+'Polityka społeczna i rozwój prz'!E15+Administracja!E16+'Rolnictwo i Ochrona środowiska'!E15</f>
        <v>28809204</v>
      </c>
      <c r="E17" s="62">
        <f>Drogi!F17+'Polityka społeczna i rozwój prz'!F15+Administracja!F16+'Rolnictwo i Ochrona środowiska'!F15</f>
        <v>5238988</v>
      </c>
      <c r="F17" s="62">
        <f>Drogi!G17+'Polityka społeczna i rozwój prz'!G15+Administracja!G16+'Rolnictwo i Ochrona środowiska'!G15</f>
        <v>8742715</v>
      </c>
      <c r="G17" s="63">
        <f>Drogi!H17+'Polityka społeczna i rozwój prz'!H15+Administracja!H16+'Rolnictwo i Ochrona środowiska'!H15</f>
        <v>7995935</v>
      </c>
      <c r="H17" s="64">
        <f>Drogi!I17+'Polityka społeczna i rozwój prz'!I15+Administracja!I16+'Rolnictwo i Ochrona środowiska'!I15</f>
        <v>34136711.600000001</v>
      </c>
      <c r="I17" s="65">
        <f t="shared" si="2"/>
        <v>67.215661095840545</v>
      </c>
      <c r="J17" s="66">
        <f>Drogi!K17+'Polityka społeczna i rozwój prz'!K15+Administracja!K16+'Rolnictwo i Ochrona środowiska'!K15</f>
        <v>265086.59999999998</v>
      </c>
      <c r="K17" s="67">
        <f t="shared" si="3"/>
        <v>3.032085570672268</v>
      </c>
      <c r="L17" s="63">
        <f t="shared" ref="L17:L21" si="8">+J17-F17</f>
        <v>-8477628.4000000004</v>
      </c>
      <c r="M17" s="9">
        <f>C17-C30</f>
        <v>0</v>
      </c>
      <c r="N17" s="70"/>
      <c r="O17" s="10"/>
      <c r="R17" s="68"/>
      <c r="T17" s="68"/>
    </row>
    <row r="18" spans="1:20" s="11" customFormat="1" ht="16.5" customHeight="1" x14ac:dyDescent="0.2">
      <c r="A18" s="461"/>
      <c r="B18" s="69" t="s">
        <v>8</v>
      </c>
      <c r="C18" s="61">
        <f>+'Rolnictwo i Ochrona środowiska'!D16</f>
        <v>65855448.400000006</v>
      </c>
      <c r="D18" s="62">
        <f>+'Rolnictwo i Ochrona środowiska'!E16</f>
        <v>41762289.400000006</v>
      </c>
      <c r="E18" s="62">
        <f>+'Rolnictwo i Ochrona środowiska'!F16</f>
        <v>9726690</v>
      </c>
      <c r="F18" s="62">
        <f>+'Rolnictwo i Ochrona środowiska'!G16</f>
        <v>8701000</v>
      </c>
      <c r="G18" s="63">
        <f>+'Rolnictwo i Ochrona środowiska'!H16</f>
        <v>5665469</v>
      </c>
      <c r="H18" s="64">
        <f>+'Rolnictwo i Ochrona środowiska'!I16</f>
        <v>52300104.870000005</v>
      </c>
      <c r="I18" s="65">
        <f t="shared" si="2"/>
        <v>79.4165192716234</v>
      </c>
      <c r="J18" s="66">
        <f>'Rolnictwo i Ochrona środowiska'!K16</f>
        <v>877874.47</v>
      </c>
      <c r="K18" s="67">
        <f t="shared" si="3"/>
        <v>10.089351453855878</v>
      </c>
      <c r="L18" s="63">
        <f t="shared" si="8"/>
        <v>-7823125.5300000003</v>
      </c>
      <c r="M18" s="36">
        <f>C18-C31</f>
        <v>0</v>
      </c>
      <c r="N18" s="37"/>
      <c r="O18" s="10"/>
      <c r="R18" s="68"/>
      <c r="S18" s="68"/>
      <c r="T18" s="68"/>
    </row>
    <row r="19" spans="1:20" s="11" customFormat="1" ht="15.75" customHeight="1" x14ac:dyDescent="0.2">
      <c r="A19" s="461"/>
      <c r="B19" s="69" t="s">
        <v>9</v>
      </c>
      <c r="C19" s="76">
        <f>Drogi!D18</f>
        <v>18002944</v>
      </c>
      <c r="D19" s="72">
        <f>Drogi!E18</f>
        <v>18002944</v>
      </c>
      <c r="E19" s="72">
        <f>Drogi!F18</f>
        <v>0</v>
      </c>
      <c r="F19" s="74">
        <f>Drogi!G18</f>
        <v>0</v>
      </c>
      <c r="G19" s="74">
        <f>Drogi!H18</f>
        <v>0</v>
      </c>
      <c r="H19" s="71">
        <f>Drogi!I18</f>
        <v>18002944</v>
      </c>
      <c r="I19" s="65">
        <f t="shared" si="2"/>
        <v>100</v>
      </c>
      <c r="J19" s="74">
        <f>Drogi!K18</f>
        <v>0</v>
      </c>
      <c r="K19" s="75">
        <v>0</v>
      </c>
      <c r="L19" s="63">
        <f t="shared" si="8"/>
        <v>0</v>
      </c>
      <c r="M19" s="36">
        <f>C19-C32</f>
        <v>0</v>
      </c>
      <c r="N19" s="37"/>
      <c r="O19" s="10"/>
      <c r="R19" s="68"/>
      <c r="T19" s="68"/>
    </row>
    <row r="20" spans="1:20" s="11" customFormat="1" ht="15.75" customHeight="1" x14ac:dyDescent="0.2">
      <c r="A20" s="461"/>
      <c r="B20" s="69" t="s">
        <v>10</v>
      </c>
      <c r="C20" s="71">
        <f>Drogi!D19+'Rolnictwo i Ochrona środowiska'!D17</f>
        <v>56040780</v>
      </c>
      <c r="D20" s="72">
        <f>Drogi!E19+'Rolnictwo i Ochrona środowiska'!E17</f>
        <v>3801777</v>
      </c>
      <c r="E20" s="72">
        <f>Drogi!F19+'Rolnictwo i Ochrona środowiska'!F17</f>
        <v>18921341</v>
      </c>
      <c r="F20" s="72">
        <f>Drogi!G19+'Rolnictwo i Ochrona środowiska'!G17</f>
        <v>24601250</v>
      </c>
      <c r="G20" s="73">
        <f>Drogi!H19+'Rolnictwo i Ochrona środowiska'!H17</f>
        <v>8716412</v>
      </c>
      <c r="H20" s="76">
        <f>Drogi!I19+'Rolnictwo i Ochrona środowiska'!I17</f>
        <v>22723116</v>
      </c>
      <c r="I20" s="65">
        <f t="shared" si="2"/>
        <v>40.547465613433644</v>
      </c>
      <c r="J20" s="74">
        <f>Drogi!K19+'Rolnictwo i Ochrona środowiska'!K17</f>
        <v>0</v>
      </c>
      <c r="K20" s="75">
        <f>J20/F20*100</f>
        <v>0</v>
      </c>
      <c r="L20" s="63">
        <f t="shared" si="8"/>
        <v>-24601250</v>
      </c>
      <c r="M20" s="36">
        <f>C20-C33</f>
        <v>0</v>
      </c>
      <c r="N20" s="37"/>
      <c r="O20" s="10"/>
      <c r="R20" s="68"/>
      <c r="T20" s="68"/>
    </row>
    <row r="21" spans="1:20" s="11" customFormat="1" ht="15.75" customHeight="1" x14ac:dyDescent="0.2">
      <c r="A21" s="461"/>
      <c r="B21" s="69" t="s">
        <v>11</v>
      </c>
      <c r="C21" s="71">
        <f>Drogi!D42</f>
        <v>75031000</v>
      </c>
      <c r="D21" s="72">
        <f>Drogi!E42</f>
        <v>72201672</v>
      </c>
      <c r="E21" s="72">
        <f>Drogi!F42</f>
        <v>1371496</v>
      </c>
      <c r="F21" s="72">
        <f>Drogi!G42</f>
        <v>1457832</v>
      </c>
      <c r="G21" s="74">
        <f>Drogi!H42</f>
        <v>0</v>
      </c>
      <c r="H21" s="76">
        <f>Drogi!I42</f>
        <v>73714565</v>
      </c>
      <c r="I21" s="65">
        <f t="shared" si="2"/>
        <v>98.245478535538638</v>
      </c>
      <c r="J21" s="72">
        <f>Drogi!K42</f>
        <v>141959</v>
      </c>
      <c r="K21" s="67">
        <f>J21/F21*100</f>
        <v>9.7376789643799846</v>
      </c>
      <c r="L21" s="63">
        <f t="shared" si="8"/>
        <v>-1315873</v>
      </c>
      <c r="M21" s="36">
        <f>C21-C35</f>
        <v>0</v>
      </c>
      <c r="N21" s="37"/>
      <c r="O21" s="10"/>
      <c r="R21" s="68"/>
      <c r="S21" s="68"/>
      <c r="T21" s="68"/>
    </row>
    <row r="22" spans="1:20" s="11" customFormat="1" ht="13.5" customHeight="1" x14ac:dyDescent="0.2">
      <c r="A22" s="461"/>
      <c r="B22" s="77" t="s">
        <v>12</v>
      </c>
      <c r="C22" s="78">
        <f>SUM(C23:C27)</f>
        <v>953367083</v>
      </c>
      <c r="D22" s="79">
        <f t="shared" ref="D22:G22" si="9">SUM(D23:D27)</f>
        <v>433138564</v>
      </c>
      <c r="E22" s="79">
        <f t="shared" si="9"/>
        <v>178794687</v>
      </c>
      <c r="F22" s="79">
        <f t="shared" si="9"/>
        <v>221007083</v>
      </c>
      <c r="G22" s="80">
        <f t="shared" si="9"/>
        <v>120426749</v>
      </c>
      <c r="H22" s="81">
        <f>SUM(H23:H27)</f>
        <v>627257943.67000008</v>
      </c>
      <c r="I22" s="82">
        <f t="shared" si="2"/>
        <v>65.793958576394445</v>
      </c>
      <c r="J22" s="79">
        <f>SUM(J23:J27)</f>
        <v>18628787.669999998</v>
      </c>
      <c r="K22" s="83">
        <f>J22/F22*100</f>
        <v>8.4290455387803114</v>
      </c>
      <c r="L22" s="84">
        <f>SUM(L23:L27)</f>
        <v>-202378295.32999998</v>
      </c>
      <c r="M22" s="36"/>
      <c r="N22" s="37"/>
      <c r="O22" s="10"/>
      <c r="P22" s="10"/>
      <c r="Q22" s="10"/>
    </row>
    <row r="23" spans="1:20" s="11" customFormat="1" ht="13.5" customHeight="1" x14ac:dyDescent="0.2">
      <c r="A23" s="461"/>
      <c r="B23" s="69" t="s">
        <v>4</v>
      </c>
      <c r="C23" s="71">
        <f>'Rolnictwo i Ochrona środowiska'!D19</f>
        <v>5118817</v>
      </c>
      <c r="D23" s="72">
        <f>'Rolnictwo i Ochrona środowiska'!E19</f>
        <v>5118817</v>
      </c>
      <c r="E23" s="72">
        <f>'Rolnictwo i Ochrona środowiska'!F19</f>
        <v>0</v>
      </c>
      <c r="F23" s="85">
        <f>'Rolnictwo i Ochrona środowiska'!G19</f>
        <v>0</v>
      </c>
      <c r="G23" s="74">
        <f>'Rolnictwo i Ochrona środowiska'!H19</f>
        <v>0</v>
      </c>
      <c r="H23" s="76">
        <f>'Rolnictwo i Ochrona środowiska'!I19</f>
        <v>5119921</v>
      </c>
      <c r="I23" s="65">
        <f t="shared" si="2"/>
        <v>100.02156748326811</v>
      </c>
      <c r="J23" s="85">
        <f>'Rolnictwo i Ochrona środowiska'!K19</f>
        <v>0</v>
      </c>
      <c r="K23" s="75">
        <v>0</v>
      </c>
      <c r="L23" s="63">
        <f>+J23-F23</f>
        <v>0</v>
      </c>
      <c r="M23" s="36"/>
      <c r="N23" s="37"/>
      <c r="O23" s="10"/>
      <c r="P23" s="10"/>
      <c r="Q23" s="10"/>
    </row>
    <row r="24" spans="1:20" s="11" customFormat="1" ht="13.5" customHeight="1" x14ac:dyDescent="0.2">
      <c r="A24" s="461"/>
      <c r="B24" s="86" t="s">
        <v>337</v>
      </c>
      <c r="C24" s="538">
        <f>+Drogi!D23</f>
        <v>0</v>
      </c>
      <c r="D24" s="87">
        <f>+Drogi!E23</f>
        <v>0</v>
      </c>
      <c r="E24" s="88">
        <f>+Drogi!F23</f>
        <v>0</v>
      </c>
      <c r="F24" s="74">
        <f>+Drogi!G23</f>
        <v>0</v>
      </c>
      <c r="G24" s="74">
        <f>+Drogi!H23</f>
        <v>0</v>
      </c>
      <c r="H24" s="89">
        <f>+Drogi!I23</f>
        <v>1023120</v>
      </c>
      <c r="I24" s="90">
        <v>0</v>
      </c>
      <c r="J24" s="85">
        <f>+Drogi!K23</f>
        <v>0</v>
      </c>
      <c r="K24" s="91">
        <v>0</v>
      </c>
      <c r="L24" s="92">
        <f t="shared" ref="L24:L27" si="10">+J24-F24</f>
        <v>0</v>
      </c>
      <c r="M24" s="36"/>
      <c r="N24" s="37"/>
      <c r="O24" s="10"/>
      <c r="P24" s="10"/>
      <c r="Q24" s="10"/>
    </row>
    <row r="25" spans="1:20" s="11" customFormat="1" ht="16.5" customHeight="1" x14ac:dyDescent="0.2">
      <c r="A25" s="461"/>
      <c r="B25" s="69" t="s">
        <v>13</v>
      </c>
      <c r="C25" s="71">
        <f>Drogi!D24+Oświata!D17+'Rolnictwo i Ochrona środowiska'!D22</f>
        <v>33615558</v>
      </c>
      <c r="D25" s="72">
        <f>Drogi!E24+Oświata!E17+'Rolnictwo i Ochrona środowiska'!E22</f>
        <v>17532063</v>
      </c>
      <c r="E25" s="503">
        <f>Drogi!F24+Oświata!F17+'Rolnictwo i Ochrona środowiska'!F22</f>
        <v>1212833</v>
      </c>
      <c r="F25" s="72">
        <f>Drogi!G24+Oświata!G17+'Rolnictwo i Ochrona środowiska'!G22</f>
        <v>6548648</v>
      </c>
      <c r="G25" s="73">
        <f>Drogi!H24+Oświata!H17+'Rolnictwo i Ochrona środowiska'!H22</f>
        <v>8322014</v>
      </c>
      <c r="H25" s="76">
        <f>Drogi!I24+Oświata!I17+'Rolnictwo i Ochrona środowiska'!I22</f>
        <v>18735054.359999999</v>
      </c>
      <c r="I25" s="65">
        <f t="shared" si="2"/>
        <v>55.733283856242991</v>
      </c>
      <c r="J25" s="72">
        <f>Drogi!K24+Oświata!K17+'Rolnictwo i Ochrona środowiska'!K22</f>
        <v>26761.360000000001</v>
      </c>
      <c r="K25" s="67">
        <f t="shared" ref="K25:K33" si="11">J25/F25*100</f>
        <v>0.40865473300748489</v>
      </c>
      <c r="L25" s="63">
        <f t="shared" si="10"/>
        <v>-6521886.6399999997</v>
      </c>
      <c r="M25" s="36">
        <f>C25-C40</f>
        <v>-5118817</v>
      </c>
      <c r="N25" s="37"/>
      <c r="O25" s="10"/>
      <c r="R25" s="68"/>
      <c r="S25" s="10"/>
      <c r="T25" s="68"/>
    </row>
    <row r="26" spans="1:20" s="11" customFormat="1" ht="16.5" customHeight="1" x14ac:dyDescent="0.2">
      <c r="A26" s="461"/>
      <c r="B26" s="69" t="s">
        <v>8</v>
      </c>
      <c r="C26" s="71">
        <f>+'Rolnictwo i Ochrona środowiska'!D21</f>
        <v>46846207.599999994</v>
      </c>
      <c r="D26" s="72">
        <f>+'Rolnictwo i Ochrona środowiska'!E21</f>
        <v>35038207.599999994</v>
      </c>
      <c r="E26" s="503">
        <f>+'Rolnictwo i Ochrona środowiska'!F21</f>
        <v>5011660</v>
      </c>
      <c r="F26" s="72">
        <f>+'Rolnictwo i Ochrona środowiska'!G21</f>
        <v>6000000</v>
      </c>
      <c r="G26" s="73">
        <f>+'Rolnictwo i Ochrona środowiska'!H21</f>
        <v>796340</v>
      </c>
      <c r="H26" s="76">
        <f>+'Rolnictwo i Ochrona środowiska'!I21</f>
        <v>40792594.599999994</v>
      </c>
      <c r="I26" s="65">
        <f t="shared" si="2"/>
        <v>87.077688226784005</v>
      </c>
      <c r="J26" s="72">
        <f>+'Rolnictwo i Ochrona środowiska'!K21</f>
        <v>785422</v>
      </c>
      <c r="K26" s="67">
        <f t="shared" si="11"/>
        <v>13.090366666666666</v>
      </c>
      <c r="L26" s="63">
        <f t="shared" si="10"/>
        <v>-5214578</v>
      </c>
      <c r="M26" s="36">
        <f>C26-C39</f>
        <v>0</v>
      </c>
      <c r="N26" s="37"/>
      <c r="O26" s="10"/>
      <c r="R26" s="68"/>
    </row>
    <row r="27" spans="1:20" s="11" customFormat="1" ht="16.5" customHeight="1" x14ac:dyDescent="0.2">
      <c r="A27" s="461"/>
      <c r="B27" s="69" t="s">
        <v>14</v>
      </c>
      <c r="C27" s="71">
        <f>Drogi!D25+'Polityka społeczna i rozwój prz'!D17+Administracja!D18+'Rolnictwo i Ochrona środowiska'!D20+'Kultura fizyczna i turystyka'!D18+'Planowanie przestrzenne'!D18</f>
        <v>867786500.39999998</v>
      </c>
      <c r="D27" s="72">
        <f>Drogi!E25+'Polityka społeczna i rozwój prz'!E17+Administracja!E18+'Rolnictwo i Ochrona środowiska'!E20+'Kultura fizyczna i turystyka'!E18+'Planowanie przestrzenne'!E18</f>
        <v>375449476.39999998</v>
      </c>
      <c r="E27" s="503">
        <f>Drogi!F25+'Polityka społeczna i rozwój prz'!F17+Administracja!F18+'Rolnictwo i Ochrona środowiska'!F20+'Kultura fizyczna i turystyka'!F18+'Planowanie przestrzenne'!F18</f>
        <v>172570194</v>
      </c>
      <c r="F27" s="72">
        <f>Drogi!G25+'Polityka społeczna i rozwój prz'!G17+Administracja!G18+'Rolnictwo i Ochrona środowiska'!G20+'Kultura fizyczna i turystyka'!G18+'Planowanie przestrzenne'!G18</f>
        <v>208458435</v>
      </c>
      <c r="G27" s="73">
        <f>Drogi!H25+'Polityka społeczna i rozwój prz'!H17+Administracja!H18+'Rolnictwo i Ochrona środowiska'!H20+'Kultura fizyczna i turystyka'!H18+'Planowanie przestrzenne'!H18</f>
        <v>111308395</v>
      </c>
      <c r="H27" s="76">
        <f>Drogi!I25+'Polityka społeczna i rozwój prz'!I17+Administracja!I18+'Rolnictwo i Ochrona środowiska'!I20+'Kultura fizyczna i turystyka'!I18+'Planowanie przestrzenne'!I18</f>
        <v>561587253.71000004</v>
      </c>
      <c r="I27" s="65">
        <f t="shared" si="2"/>
        <v>64.714910113390843</v>
      </c>
      <c r="J27" s="72">
        <f>Drogi!K25+'Polityka społeczna i rozwój prz'!K17+Administracja!K18+'Rolnictwo i Ochrona środowiska'!K20+'Kultura fizyczna i turystyka'!K18+'Planowanie przestrzenne'!K18</f>
        <v>17816604.309999999</v>
      </c>
      <c r="K27" s="67">
        <f t="shared" si="11"/>
        <v>8.5468377952659971</v>
      </c>
      <c r="L27" s="63">
        <f t="shared" si="10"/>
        <v>-190641830.69</v>
      </c>
      <c r="M27" s="36">
        <f>C27-C41</f>
        <v>0</v>
      </c>
      <c r="N27" s="37"/>
      <c r="O27" s="10"/>
      <c r="R27" s="68"/>
      <c r="S27" s="68"/>
      <c r="T27" s="68"/>
    </row>
    <row r="28" spans="1:20" s="13" customFormat="1" ht="15.75" customHeight="1" x14ac:dyDescent="0.2">
      <c r="A28" s="3024" t="s">
        <v>16</v>
      </c>
      <c r="B28" s="3025"/>
      <c r="C28" s="93">
        <f>+C29+C37</f>
        <v>1221549911.4000001</v>
      </c>
      <c r="D28" s="94">
        <f t="shared" ref="D28:H28" si="12">+D29+D37</f>
        <v>581875231.39999998</v>
      </c>
      <c r="E28" s="532">
        <f>+E29+E37</f>
        <v>223519721</v>
      </c>
      <c r="F28" s="94">
        <f t="shared" si="12"/>
        <v>273309814</v>
      </c>
      <c r="G28" s="95">
        <f t="shared" si="12"/>
        <v>142845145</v>
      </c>
      <c r="H28" s="96">
        <f t="shared" si="12"/>
        <v>844272479.39999998</v>
      </c>
      <c r="I28" s="97">
        <f t="shared" si="2"/>
        <v>69.114857405408188</v>
      </c>
      <c r="J28" s="94">
        <f>+J29+J37</f>
        <v>37026433</v>
      </c>
      <c r="K28" s="98">
        <f t="shared" si="11"/>
        <v>13.547421681681726</v>
      </c>
      <c r="L28" s="99">
        <f>+L29+L37</f>
        <v>-236283381</v>
      </c>
      <c r="M28" s="36"/>
      <c r="N28" s="37"/>
      <c r="O28" s="12"/>
      <c r="P28" s="12"/>
      <c r="Q28" s="12"/>
      <c r="R28" s="100"/>
    </row>
    <row r="29" spans="1:20" s="11" customFormat="1" ht="15" customHeight="1" x14ac:dyDescent="0.2">
      <c r="A29" s="461"/>
      <c r="B29" s="77" t="s">
        <v>17</v>
      </c>
      <c r="C29" s="78">
        <f>SUM(C30:C36)</f>
        <v>268182828.40000001</v>
      </c>
      <c r="D29" s="537">
        <f t="shared" ref="D29:F29" si="13">SUM(D30:D36)</f>
        <v>179238174.40000001</v>
      </c>
      <c r="E29" s="79">
        <f t="shared" si="13"/>
        <v>32964677</v>
      </c>
      <c r="F29" s="533">
        <f t="shared" si="13"/>
        <v>33581561</v>
      </c>
      <c r="G29" s="80">
        <f t="shared" ref="G29:J29" si="14">SUM(G30:G36)</f>
        <v>22398416</v>
      </c>
      <c r="H29" s="81">
        <f t="shared" si="14"/>
        <v>219593532.40000001</v>
      </c>
      <c r="I29" s="57">
        <f t="shared" si="2"/>
        <v>81.882025672602694</v>
      </c>
      <c r="J29" s="79">
        <f t="shared" si="14"/>
        <v>7653181</v>
      </c>
      <c r="K29" s="58">
        <f t="shared" si="11"/>
        <v>22.789831002793466</v>
      </c>
      <c r="L29" s="84">
        <f t="shared" ref="L29" si="15">SUM(L30:L35)</f>
        <v>-25928380</v>
      </c>
      <c r="M29" s="36"/>
      <c r="N29" s="37"/>
      <c r="O29" s="101"/>
      <c r="P29" s="101"/>
      <c r="Q29" s="101"/>
      <c r="R29" s="10"/>
    </row>
    <row r="30" spans="1:20" s="11" customFormat="1" ht="15" customHeight="1" x14ac:dyDescent="0.2">
      <c r="A30" s="461"/>
      <c r="B30" s="69" t="s">
        <v>7</v>
      </c>
      <c r="C30" s="61">
        <f>Drogi!D28+'Polityka społeczna i rozwój prz'!D20+Administracja!D21+'Rolnictwo i Ochrona środowiska'!D25</f>
        <v>50786842</v>
      </c>
      <c r="D30" s="62">
        <f>Drogi!E28+'Polityka społeczna i rozwój prz'!E20+Administracja!E21+'Rolnictwo i Ochrona środowiska'!E25</f>
        <v>28781595</v>
      </c>
      <c r="E30" s="66">
        <f>Drogi!F28+'Polityka społeczna i rozwój prz'!F20+Administracja!F21+'Rolnictwo i Ochrona środowiska'!F25</f>
        <v>5238988</v>
      </c>
      <c r="F30" s="62">
        <f>Drogi!G28+'Polityka społeczna i rozwój prz'!G20+Administracja!G21+'Rolnictwo i Ochrona środowiska'!G25</f>
        <v>8749724</v>
      </c>
      <c r="G30" s="63">
        <f>Drogi!H28+'Polityka społeczna i rozwój prz'!H20+Administracja!H21+'Rolnictwo i Ochrona środowiska'!H25</f>
        <v>8016535</v>
      </c>
      <c r="H30" s="64">
        <f>Drogi!I28+'Polityka społeczna i rozwój prz'!I20+Administracja!I21+'Rolnictwo i Ochrona środowiska'!I25</f>
        <v>34244259</v>
      </c>
      <c r="I30" s="65">
        <f t="shared" si="2"/>
        <v>67.427423425933824</v>
      </c>
      <c r="J30" s="62">
        <f>Drogi!K28+'Polityka społeczna i rozwój prz'!K20+Administracja!K21+'Rolnictwo i Ochrona środowiska'!K25</f>
        <v>386614</v>
      </c>
      <c r="K30" s="67">
        <f t="shared" si="11"/>
        <v>4.4185850890839529</v>
      </c>
      <c r="L30" s="63">
        <f>+J30-F30</f>
        <v>-8363110</v>
      </c>
      <c r="M30" s="9"/>
      <c r="N30" s="70"/>
      <c r="O30" s="10"/>
      <c r="P30" s="10"/>
      <c r="Q30" s="10"/>
    </row>
    <row r="31" spans="1:20" s="11" customFormat="1" ht="17.25" customHeight="1" x14ac:dyDescent="0.2">
      <c r="A31" s="461"/>
      <c r="B31" s="69" t="s">
        <v>8</v>
      </c>
      <c r="C31" s="61">
        <f>+'Rolnictwo i Ochrona środowiska'!D26</f>
        <v>65855448.400000006</v>
      </c>
      <c r="D31" s="62">
        <f>+'Rolnictwo i Ochrona środowiska'!E26</f>
        <v>41762289.400000006</v>
      </c>
      <c r="E31" s="66">
        <f>+'Rolnictwo i Ochrona środowiska'!F26</f>
        <v>9726690</v>
      </c>
      <c r="F31" s="62">
        <f>+'Rolnictwo i Ochrona środowiska'!G26</f>
        <v>8701000</v>
      </c>
      <c r="G31" s="63">
        <f>+'Rolnictwo i Ochrona środowiska'!H26</f>
        <v>5665469</v>
      </c>
      <c r="H31" s="64">
        <f>+'Rolnictwo i Ochrona środowiska'!I26</f>
        <v>52405115.400000006</v>
      </c>
      <c r="I31" s="65">
        <f t="shared" si="2"/>
        <v>79.575975372145521</v>
      </c>
      <c r="J31" s="62">
        <f>+'Rolnictwo i Ochrona środowiska'!K26</f>
        <v>1016065</v>
      </c>
      <c r="K31" s="67">
        <f t="shared" si="11"/>
        <v>11.677565797034823</v>
      </c>
      <c r="L31" s="63">
        <f t="shared" ref="L31:L41" si="16">+J31-F31</f>
        <v>-7684935</v>
      </c>
      <c r="M31" s="36"/>
      <c r="N31" s="37"/>
      <c r="O31" s="10"/>
      <c r="P31" s="10"/>
      <c r="Q31" s="10"/>
    </row>
    <row r="32" spans="1:20" s="11" customFormat="1" ht="16.5" customHeight="1" x14ac:dyDescent="0.2">
      <c r="A32" s="461"/>
      <c r="B32" s="69" t="s">
        <v>9</v>
      </c>
      <c r="C32" s="61">
        <f>+Drogi!D29</f>
        <v>18002944</v>
      </c>
      <c r="D32" s="62">
        <f>+Drogi!E29</f>
        <v>16013080</v>
      </c>
      <c r="E32" s="66">
        <f>+Drogi!F29</f>
        <v>1989864</v>
      </c>
      <c r="F32" s="85">
        <f>+Drogi!G29</f>
        <v>0</v>
      </c>
      <c r="G32" s="74">
        <f>+Drogi!H29</f>
        <v>0</v>
      </c>
      <c r="H32" s="64">
        <f>+Drogi!I29</f>
        <v>18002944</v>
      </c>
      <c r="I32" s="65">
        <f t="shared" si="2"/>
        <v>100</v>
      </c>
      <c r="J32" s="85">
        <f>+Drogi!K29</f>
        <v>0</v>
      </c>
      <c r="K32" s="75">
        <v>0</v>
      </c>
      <c r="L32" s="63">
        <f t="shared" si="16"/>
        <v>0</v>
      </c>
      <c r="M32" s="36"/>
      <c r="N32" s="37"/>
    </row>
    <row r="33" spans="1:17" s="11" customFormat="1" ht="15" customHeight="1" x14ac:dyDescent="0.2">
      <c r="A33" s="461"/>
      <c r="B33" s="69" t="s">
        <v>10</v>
      </c>
      <c r="C33" s="71">
        <f>+Drogi!D30+'Rolnictwo i Ochrona środowiska'!D27</f>
        <v>56040780</v>
      </c>
      <c r="D33" s="72">
        <f>+Drogi!E30+'Rolnictwo i Ochrona środowiska'!E27</f>
        <v>24540313</v>
      </c>
      <c r="E33" s="503">
        <f>+Drogi!F30+'Rolnictwo i Ochrona środowiska'!F27</f>
        <v>9511341</v>
      </c>
      <c r="F33" s="72">
        <f>+Drogi!G30+'Rolnictwo i Ochrona środowiska'!G27</f>
        <v>13272714</v>
      </c>
      <c r="G33" s="73">
        <f>+Drogi!H30+'Rolnictwo i Ochrona środowiska'!H27</f>
        <v>8716412</v>
      </c>
      <c r="H33" s="76">
        <f>+Drogi!I30+'Rolnictwo i Ochrona środowiska'!I27</f>
        <v>40301653</v>
      </c>
      <c r="I33" s="65">
        <f t="shared" si="2"/>
        <v>71.91486806571929</v>
      </c>
      <c r="J33" s="72">
        <f>+Drogi!K30+'Rolnictwo i Ochrona środowiska'!K27</f>
        <v>6250000</v>
      </c>
      <c r="K33" s="67">
        <f t="shared" si="11"/>
        <v>47.089088184978593</v>
      </c>
      <c r="L33" s="63">
        <f t="shared" si="16"/>
        <v>-7022714</v>
      </c>
      <c r="M33" s="36"/>
      <c r="N33" s="37"/>
    </row>
    <row r="34" spans="1:17" s="11" customFormat="1" ht="15" customHeight="1" thickBot="1" x14ac:dyDescent="0.25">
      <c r="A34" s="461"/>
      <c r="B34" s="69" t="s">
        <v>20</v>
      </c>
      <c r="C34" s="71">
        <f>+'Rolnictwo i Ochrona środowiska'!D28</f>
        <v>1624333</v>
      </c>
      <c r="D34" s="72">
        <f>+'Rolnictwo i Ochrona środowiska'!E28</f>
        <v>1498153</v>
      </c>
      <c r="E34" s="503">
        <f>+'Rolnictwo i Ochrona środowiska'!F28</f>
        <v>126180</v>
      </c>
      <c r="F34" s="85">
        <f>+'Rolnictwo i Ochrona środowiska'!G28</f>
        <v>0</v>
      </c>
      <c r="G34" s="74">
        <f>+'Rolnictwo i Ochrona środowiska'!H28</f>
        <v>0</v>
      </c>
      <c r="H34" s="76">
        <f>+'Rolnictwo i Ochrona środowiska'!I28</f>
        <v>1625203</v>
      </c>
      <c r="I34" s="65">
        <f t="shared" si="2"/>
        <v>100.05356044604154</v>
      </c>
      <c r="J34" s="72">
        <f>+'Rolnictwo i Ochrona środowiska'!K28</f>
        <v>502</v>
      </c>
      <c r="K34" s="75">
        <v>0</v>
      </c>
      <c r="L34" s="73">
        <f t="shared" si="16"/>
        <v>502</v>
      </c>
      <c r="M34" s="102"/>
      <c r="N34" s="37"/>
    </row>
    <row r="35" spans="1:17" s="11" customFormat="1" ht="15" customHeight="1" x14ac:dyDescent="0.2">
      <c r="A35" s="461"/>
      <c r="B35" s="69" t="s">
        <v>11</v>
      </c>
      <c r="C35" s="71">
        <f>Drogi!D49</f>
        <v>75031000</v>
      </c>
      <c r="D35" s="72">
        <f>Drogi!E49</f>
        <v>66642744</v>
      </c>
      <c r="E35" s="503">
        <f>Drogi!F49</f>
        <v>5530133</v>
      </c>
      <c r="F35" s="72">
        <f>Drogi!G49</f>
        <v>2858123</v>
      </c>
      <c r="G35" s="74">
        <f>Drogi!H49</f>
        <v>0</v>
      </c>
      <c r="H35" s="76">
        <f>Drogi!I49</f>
        <v>72172877</v>
      </c>
      <c r="I35" s="65">
        <f t="shared" si="2"/>
        <v>96.190743825885306</v>
      </c>
      <c r="J35" s="85">
        <f>Drogi!K49</f>
        <v>0</v>
      </c>
      <c r="K35" s="75">
        <f t="shared" ref="K35:K41" si="17">J35/F35*100</f>
        <v>0</v>
      </c>
      <c r="L35" s="73">
        <f t="shared" si="16"/>
        <v>-2858123</v>
      </c>
      <c r="M35" s="105"/>
      <c r="N35" s="106"/>
    </row>
    <row r="36" spans="1:17" s="11" customFormat="1" ht="24" customHeight="1" x14ac:dyDescent="0.2">
      <c r="A36" s="461"/>
      <c r="B36" s="69" t="s">
        <v>299</v>
      </c>
      <c r="C36" s="76">
        <f>+Drogi!D50</f>
        <v>841481</v>
      </c>
      <c r="D36" s="72">
        <f>+Drogi!E50</f>
        <v>0</v>
      </c>
      <c r="E36" s="72">
        <f>+Drogi!F50</f>
        <v>841481</v>
      </c>
      <c r="F36" s="74">
        <f>+Drogi!G50</f>
        <v>0</v>
      </c>
      <c r="G36" s="74">
        <f>+Drogi!H50</f>
        <v>0</v>
      </c>
      <c r="H36" s="76">
        <f>Drogi!I50</f>
        <v>841481</v>
      </c>
      <c r="I36" s="65">
        <f t="shared" si="2"/>
        <v>100</v>
      </c>
      <c r="J36" s="85">
        <f>Drogi!K50</f>
        <v>0</v>
      </c>
      <c r="K36" s="75">
        <v>0</v>
      </c>
      <c r="L36" s="73">
        <f t="shared" si="16"/>
        <v>0</v>
      </c>
      <c r="M36" s="107"/>
      <c r="N36" s="37"/>
    </row>
    <row r="37" spans="1:17" s="11" customFormat="1" ht="14.25" customHeight="1" x14ac:dyDescent="0.2">
      <c r="A37" s="461"/>
      <c r="B37" s="540" t="s">
        <v>12</v>
      </c>
      <c r="C37" s="542">
        <f>SUM(C38:C41)</f>
        <v>953367083</v>
      </c>
      <c r="D37" s="490">
        <f t="shared" ref="D37:G37" si="18">SUM(D38:D41)</f>
        <v>402637057</v>
      </c>
      <c r="E37" s="491">
        <f t="shared" si="18"/>
        <v>190555044</v>
      </c>
      <c r="F37" s="544">
        <f t="shared" si="18"/>
        <v>239728253</v>
      </c>
      <c r="G37" s="545">
        <f t="shared" si="18"/>
        <v>120446729</v>
      </c>
      <c r="H37" s="546">
        <f>SUM(H38:H41)</f>
        <v>624678947</v>
      </c>
      <c r="I37" s="547">
        <f t="shared" si="2"/>
        <v>65.523444026858641</v>
      </c>
      <c r="J37" s="548">
        <f>SUM(J38:J41)</f>
        <v>29373252</v>
      </c>
      <c r="K37" s="58">
        <f t="shared" si="17"/>
        <v>12.252728509225818</v>
      </c>
      <c r="L37" s="492">
        <f>SUM(L38:L41)</f>
        <v>-210355001</v>
      </c>
      <c r="M37" s="110"/>
      <c r="N37" s="37"/>
      <c r="O37" s="10"/>
      <c r="P37" s="10"/>
      <c r="Q37" s="10"/>
    </row>
    <row r="38" spans="1:17" s="11" customFormat="1" ht="14.25" customHeight="1" x14ac:dyDescent="0.2">
      <c r="A38" s="461"/>
      <c r="B38" s="541" t="s">
        <v>337</v>
      </c>
      <c r="C38" s="543">
        <f>+Drogi!D34</f>
        <v>0</v>
      </c>
      <c r="D38" s="499">
        <f>+Drogi!E34</f>
        <v>0</v>
      </c>
      <c r="E38" s="500">
        <f>+Drogi!F34</f>
        <v>0</v>
      </c>
      <c r="F38" s="90">
        <f>+Drogi!G34</f>
        <v>0</v>
      </c>
      <c r="G38" s="91">
        <f>+Drogi!H34</f>
        <v>0</v>
      </c>
      <c r="H38" s="89">
        <f>+Drogi!I34</f>
        <v>1023120</v>
      </c>
      <c r="I38" s="90">
        <v>0</v>
      </c>
      <c r="J38" s="85">
        <f>+Drogi!K34</f>
        <v>0</v>
      </c>
      <c r="K38" s="549">
        <v>0</v>
      </c>
      <c r="L38" s="502">
        <f t="shared" si="16"/>
        <v>0</v>
      </c>
      <c r="M38" s="110"/>
      <c r="N38" s="37"/>
      <c r="O38" s="10"/>
      <c r="P38" s="10"/>
      <c r="Q38" s="10"/>
    </row>
    <row r="39" spans="1:17" s="11" customFormat="1" ht="15.75" customHeight="1" thickBot="1" x14ac:dyDescent="0.25">
      <c r="A39" s="461"/>
      <c r="B39" s="69" t="s">
        <v>8</v>
      </c>
      <c r="C39" s="71">
        <f>+'Rolnictwo i Ochrona środowiska'!D31</f>
        <v>46846207.600000001</v>
      </c>
      <c r="D39" s="72">
        <f>+'Rolnictwo i Ochrona środowiska'!E31</f>
        <v>35038207.600000001</v>
      </c>
      <c r="E39" s="72">
        <f>+'Rolnictwo i Ochrona środowiska'!F31</f>
        <v>5011660</v>
      </c>
      <c r="F39" s="72">
        <f>+'Rolnictwo i Ochrona środowiska'!G31</f>
        <v>6000000</v>
      </c>
      <c r="G39" s="73">
        <f>+'Rolnictwo i Ochrona środowiska'!H31</f>
        <v>796340</v>
      </c>
      <c r="H39" s="76">
        <f>+'Rolnictwo i Ochrona środowiska'!I31</f>
        <v>40950071.600000001</v>
      </c>
      <c r="I39" s="65">
        <f t="shared" si="2"/>
        <v>87.413845640730159</v>
      </c>
      <c r="J39" s="72">
        <f>+'Rolnictwo i Ochrona środowiska'!K31</f>
        <v>1200000</v>
      </c>
      <c r="K39" s="67">
        <f t="shared" si="17"/>
        <v>20</v>
      </c>
      <c r="L39" s="73">
        <f t="shared" si="16"/>
        <v>-4800000</v>
      </c>
      <c r="M39" s="110"/>
      <c r="N39" s="37"/>
    </row>
    <row r="40" spans="1:17" s="11" customFormat="1" ht="15.75" customHeight="1" x14ac:dyDescent="0.2">
      <c r="A40" s="461"/>
      <c r="B40" s="69" t="s">
        <v>13</v>
      </c>
      <c r="C40" s="71">
        <f>Drogi!D35+Oświata!D20+'Rolnictwo i Ochrona środowiska'!D32</f>
        <v>38734375</v>
      </c>
      <c r="D40" s="72">
        <f>Drogi!E35+Oświata!E20+'Rolnictwo i Ochrona środowiska'!E32</f>
        <v>15440277</v>
      </c>
      <c r="E40" s="72">
        <f>Drogi!F35+Oświata!F20+'Rolnictwo i Ochrona środowiska'!F32</f>
        <v>12580484</v>
      </c>
      <c r="F40" s="72">
        <f>Drogi!G35+Oświata!G20+'Rolnictwo i Ochrona środowiska'!G32</f>
        <v>7569366</v>
      </c>
      <c r="G40" s="73">
        <f>Drogi!H35+Oświata!H20+'Rolnictwo i Ochrona środowiska'!H32</f>
        <v>3144248</v>
      </c>
      <c r="H40" s="76">
        <f>Drogi!I35+Oświata!I20+'Rolnictwo i Ochrona środowiska'!I32</f>
        <v>31132166</v>
      </c>
      <c r="I40" s="65">
        <f t="shared" si="2"/>
        <v>80.373482210568781</v>
      </c>
      <c r="J40" s="503">
        <f>Drogi!K35+Oświata!K20+'Rolnictwo i Ochrona środowiska'!K32</f>
        <v>56120</v>
      </c>
      <c r="K40" s="67">
        <f t="shared" si="17"/>
        <v>0.74140951831368707</v>
      </c>
      <c r="L40" s="73">
        <f t="shared" si="16"/>
        <v>-7513246</v>
      </c>
      <c r="M40" s="110"/>
      <c r="N40" s="106"/>
    </row>
    <row r="41" spans="1:17" s="11" customFormat="1" ht="15.75" customHeight="1" thickBot="1" x14ac:dyDescent="0.25">
      <c r="A41" s="478"/>
      <c r="B41" s="493" t="s">
        <v>14</v>
      </c>
      <c r="C41" s="494">
        <f>Drogi!D36+'Polityka społeczna i rozwój prz'!D22+Administracja!D23+'Rolnictwo i Ochrona środowiska'!D30+'Kultura fizyczna i turystyka'!D21+'Planowanie przestrzenne'!D21</f>
        <v>867786500.39999998</v>
      </c>
      <c r="D41" s="495">
        <f>Drogi!E36+'Polityka społeczna i rozwój prz'!E22+Administracja!E23+'Rolnictwo i Ochrona środowiska'!E30+'Kultura fizyczna i turystyka'!E21+'Planowanie przestrzenne'!E21</f>
        <v>352158572.39999998</v>
      </c>
      <c r="E41" s="495">
        <f>Drogi!F36+'Polityka społeczna i rozwój prz'!F22+Administracja!F23+'Rolnictwo i Ochrona środowiska'!F30+'Kultura fizyczna i turystyka'!F21+'Planowanie przestrzenne'!F21</f>
        <v>172962900</v>
      </c>
      <c r="F41" s="495">
        <f>Drogi!G36+'Polityka społeczna i rozwój prz'!G22+Administracja!G23+'Rolnictwo i Ochrona środowiska'!G30+'Kultura fizyczna i turystyka'!G21+'Planowanie przestrzenne'!G21</f>
        <v>226158887</v>
      </c>
      <c r="G41" s="460">
        <f>Drogi!H36+'Polityka społeczna i rozwój prz'!H22+Administracja!H23+'Rolnictwo i Ochrona środowiska'!H30+'Kultura fizyczna i turystyka'!H21+'Planowanie przestrzenne'!H21</f>
        <v>116506141</v>
      </c>
      <c r="H41" s="496">
        <f>Drogi!I36+'Polityka społeczna i rozwój prz'!I22+Administracja!I23+'Rolnictwo i Ochrona środowiska'!I30+'Kultura fizyczna i turystyka'!I21+'Planowanie przestrzenne'!I21</f>
        <v>551573589.39999998</v>
      </c>
      <c r="I41" s="497">
        <f t="shared" si="2"/>
        <v>63.560978321943942</v>
      </c>
      <c r="J41" s="498">
        <f>Drogi!K36+'Polityka społeczna i rozwój prz'!K22+Administracja!K23+'Rolnictwo i Ochrona środowiska'!K30+'Kultura fizyczna i turystyka'!K21+'Planowanie przestrzenne'!K21</f>
        <v>28117132</v>
      </c>
      <c r="K41" s="584">
        <f t="shared" si="17"/>
        <v>12.432468329223781</v>
      </c>
      <c r="L41" s="460">
        <f t="shared" si="16"/>
        <v>-198041755</v>
      </c>
      <c r="M41" s="110"/>
      <c r="N41" s="37"/>
    </row>
    <row r="42" spans="1:17" s="11" customFormat="1" ht="10.5" customHeight="1" thickBot="1" x14ac:dyDescent="0.25">
      <c r="A42" s="585"/>
      <c r="B42" s="14"/>
      <c r="C42" s="114"/>
      <c r="D42" s="15"/>
      <c r="E42" s="115"/>
      <c r="F42" s="15"/>
      <c r="G42" s="15"/>
      <c r="H42" s="15"/>
      <c r="I42" s="15"/>
      <c r="J42" s="15"/>
      <c r="K42" s="589"/>
      <c r="L42" s="590"/>
      <c r="M42" s="110"/>
      <c r="N42" s="456"/>
    </row>
    <row r="43" spans="1:17" s="13" customFormat="1" ht="21.75" customHeight="1" thickBot="1" x14ac:dyDescent="0.25">
      <c r="A43" s="3053" t="s">
        <v>18</v>
      </c>
      <c r="B43" s="3088"/>
      <c r="C43" s="116">
        <f>C14</f>
        <v>1359261361.4000001</v>
      </c>
      <c r="D43" s="116">
        <f t="shared" ref="D43:G43" si="19">D14</f>
        <v>649823074.39999998</v>
      </c>
      <c r="E43" s="116">
        <f t="shared" si="19"/>
        <v>243913363</v>
      </c>
      <c r="F43" s="116">
        <f t="shared" si="19"/>
        <v>305890953</v>
      </c>
      <c r="G43" s="117">
        <f t="shared" si="19"/>
        <v>159633971</v>
      </c>
      <c r="H43" s="118">
        <f>H14</f>
        <v>914382592.1400001</v>
      </c>
      <c r="I43" s="119">
        <f>H43/C43*100</f>
        <v>67.270549881460056</v>
      </c>
      <c r="J43" s="116">
        <f t="shared" ref="J43" si="20">J14</f>
        <v>24942499.739999998</v>
      </c>
      <c r="K43" s="175">
        <f>J43/F43*100</f>
        <v>8.1540495053477429</v>
      </c>
      <c r="L43" s="583">
        <f t="shared" ref="L43" si="21">L14</f>
        <v>-280948453.25999999</v>
      </c>
      <c r="M43" s="110">
        <f>+J43-F43/2</f>
        <v>-128002976.76000001</v>
      </c>
      <c r="N43" s="37">
        <f>+L43-M43</f>
        <v>-152945476.5</v>
      </c>
      <c r="O43" s="101"/>
    </row>
    <row r="44" spans="1:17" s="13" customFormat="1" ht="21.75" customHeight="1" thickBot="1" x14ac:dyDescent="0.25">
      <c r="A44" s="3053" t="s">
        <v>19</v>
      </c>
      <c r="B44" s="3088"/>
      <c r="C44" s="116">
        <f>+C28</f>
        <v>1221549911.4000001</v>
      </c>
      <c r="D44" s="116">
        <f t="shared" ref="D44:F44" si="22">+D28</f>
        <v>581875231.39999998</v>
      </c>
      <c r="E44" s="116">
        <f t="shared" si="22"/>
        <v>223519721</v>
      </c>
      <c r="F44" s="116">
        <f t="shared" si="22"/>
        <v>273309814</v>
      </c>
      <c r="G44" s="117">
        <f>+G28</f>
        <v>142845145</v>
      </c>
      <c r="H44" s="118">
        <f>+H28</f>
        <v>844272479.39999998</v>
      </c>
      <c r="I44" s="119">
        <f>H44/C44*100</f>
        <v>69.114857405408188</v>
      </c>
      <c r="J44" s="116">
        <f t="shared" ref="J44" si="23">+J28</f>
        <v>37026433</v>
      </c>
      <c r="K44" s="119">
        <f>J44/F44*100</f>
        <v>13.547421681681726</v>
      </c>
      <c r="L44" s="120">
        <f t="shared" ref="L44" si="24">+L28</f>
        <v>-236283381</v>
      </c>
      <c r="M44" s="110">
        <f>+J44-F44/2</f>
        <v>-99628474</v>
      </c>
      <c r="N44" s="37">
        <f>+L44-M44</f>
        <v>-136654907</v>
      </c>
      <c r="O44" s="12"/>
    </row>
    <row r="45" spans="1:17" s="11" customFormat="1" ht="9.75" customHeight="1" x14ac:dyDescent="0.2">
      <c r="A45" s="121"/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4"/>
      <c r="M45" s="125"/>
      <c r="N45" s="37"/>
    </row>
    <row r="46" spans="1:17" s="11" customFormat="1" ht="9.75" customHeight="1" x14ac:dyDescent="0.2">
      <c r="A46" s="16"/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205"/>
      <c r="M46" s="125"/>
      <c r="N46" s="37"/>
    </row>
    <row r="47" spans="1:17" ht="44.25" customHeight="1" thickBot="1" x14ac:dyDescent="0.25">
      <c r="A47" s="3068" t="s">
        <v>260</v>
      </c>
      <c r="B47" s="3068"/>
      <c r="C47" s="3068"/>
      <c r="D47" s="3068"/>
      <c r="E47" s="3068"/>
      <c r="F47" s="3068"/>
      <c r="G47" s="3068"/>
      <c r="H47" s="3068"/>
      <c r="I47" s="3068"/>
      <c r="J47" s="3068"/>
      <c r="K47" s="3068"/>
      <c r="L47" s="3068"/>
      <c r="M47" s="126"/>
      <c r="N47" s="37"/>
    </row>
    <row r="48" spans="1:17" s="3" customFormat="1" ht="43.5" customHeight="1" x14ac:dyDescent="0.2">
      <c r="A48" s="3034" t="s">
        <v>1</v>
      </c>
      <c r="B48" s="3035"/>
      <c r="C48" s="3026" t="s">
        <v>354</v>
      </c>
      <c r="D48" s="3027"/>
      <c r="E48" s="3027"/>
      <c r="F48" s="3027"/>
      <c r="G48" s="3028"/>
      <c r="H48" s="3026" t="s">
        <v>351</v>
      </c>
      <c r="I48" s="3027"/>
      <c r="J48" s="3027"/>
      <c r="K48" s="3028"/>
      <c r="L48" s="3080" t="s">
        <v>343</v>
      </c>
      <c r="M48" s="126"/>
      <c r="N48" s="37"/>
    </row>
    <row r="49" spans="1:17" ht="24" customHeight="1" x14ac:dyDescent="0.2">
      <c r="A49" s="3036"/>
      <c r="B49" s="3037"/>
      <c r="C49" s="3031" t="s">
        <v>0</v>
      </c>
      <c r="D49" s="3072" t="s">
        <v>360</v>
      </c>
      <c r="E49" s="3075" t="s">
        <v>361</v>
      </c>
      <c r="F49" s="3029" t="s">
        <v>257</v>
      </c>
      <c r="G49" s="3030"/>
      <c r="H49" s="3063" t="s">
        <v>350</v>
      </c>
      <c r="I49" s="3069" t="s">
        <v>352</v>
      </c>
      <c r="J49" s="3070"/>
      <c r="K49" s="3071"/>
      <c r="L49" s="3081"/>
      <c r="M49" s="126"/>
      <c r="N49" s="37"/>
    </row>
    <row r="50" spans="1:17" ht="35.25" customHeight="1" x14ac:dyDescent="0.2">
      <c r="A50" s="3036"/>
      <c r="B50" s="3037"/>
      <c r="C50" s="3032"/>
      <c r="D50" s="3073"/>
      <c r="E50" s="3076"/>
      <c r="F50" s="3059" t="s">
        <v>349</v>
      </c>
      <c r="G50" s="3061" t="s">
        <v>355</v>
      </c>
      <c r="H50" s="3064"/>
      <c r="I50" s="3083" t="s">
        <v>345</v>
      </c>
      <c r="J50" s="3078" t="s">
        <v>353</v>
      </c>
      <c r="K50" s="3044" t="s">
        <v>344</v>
      </c>
      <c r="L50" s="3081"/>
      <c r="M50" s="126"/>
      <c r="N50" s="37"/>
    </row>
    <row r="51" spans="1:17" ht="60" customHeight="1" thickBot="1" x14ac:dyDescent="0.25">
      <c r="A51" s="3038"/>
      <c r="B51" s="3039"/>
      <c r="C51" s="3033"/>
      <c r="D51" s="3074"/>
      <c r="E51" s="3077"/>
      <c r="F51" s="3060"/>
      <c r="G51" s="3062"/>
      <c r="H51" s="3065"/>
      <c r="I51" s="3084"/>
      <c r="J51" s="3079"/>
      <c r="K51" s="3045"/>
      <c r="L51" s="3082"/>
      <c r="M51" s="127"/>
      <c r="N51" s="37"/>
    </row>
    <row r="52" spans="1:17" ht="13.5" customHeight="1" x14ac:dyDescent="0.2">
      <c r="A52" s="3089">
        <v>1</v>
      </c>
      <c r="B52" s="3090"/>
      <c r="C52" s="534">
        <v>2</v>
      </c>
      <c r="D52" s="505"/>
      <c r="E52" s="506"/>
      <c r="F52" s="507">
        <v>3</v>
      </c>
      <c r="G52" s="508">
        <v>4</v>
      </c>
      <c r="H52" s="509">
        <v>5</v>
      </c>
      <c r="I52" s="510">
        <v>6</v>
      </c>
      <c r="J52" s="510">
        <v>7</v>
      </c>
      <c r="K52" s="511">
        <v>8</v>
      </c>
      <c r="L52" s="512">
        <v>9</v>
      </c>
      <c r="M52" s="128"/>
      <c r="N52" s="106"/>
    </row>
    <row r="53" spans="1:17" ht="21" customHeight="1" thickBot="1" x14ac:dyDescent="0.25">
      <c r="A53" s="3091" t="s">
        <v>162</v>
      </c>
      <c r="B53" s="3092"/>
      <c r="C53" s="432">
        <f t="shared" ref="C53:G53" si="25">C54+C55</f>
        <v>780235080.03250003</v>
      </c>
      <c r="D53" s="434" t="e">
        <f t="shared" si="25"/>
        <v>#REF!</v>
      </c>
      <c r="E53" s="449" t="e">
        <f t="shared" si="25"/>
        <v>#REF!</v>
      </c>
      <c r="F53" s="434">
        <f t="shared" si="25"/>
        <v>177848151</v>
      </c>
      <c r="G53" s="450">
        <f t="shared" si="25"/>
        <v>261264693</v>
      </c>
      <c r="H53" s="432">
        <f t="shared" ref="H53" si="26">H54+H55</f>
        <v>365972996.03250003</v>
      </c>
      <c r="I53" s="451">
        <f t="shared" ref="I53:I76" si="27">H53/C53*100</f>
        <v>46.905478284474952</v>
      </c>
      <c r="J53" s="413">
        <f t="shared" ref="J53" si="28">J54+J55</f>
        <v>28356378</v>
      </c>
      <c r="K53" s="452">
        <f t="shared" ref="K53:K76" si="29">J53/F53*100</f>
        <v>15.944151142735244</v>
      </c>
      <c r="L53" s="453">
        <f t="shared" ref="L53" si="30">L54+L55</f>
        <v>-148092773</v>
      </c>
      <c r="M53" s="129">
        <f>+J53-F53</f>
        <v>-149491773</v>
      </c>
      <c r="N53" s="130">
        <f>+L53-M53</f>
        <v>1399000</v>
      </c>
      <c r="O53" s="35"/>
    </row>
    <row r="54" spans="1:17" ht="15.75" customHeight="1" x14ac:dyDescent="0.2">
      <c r="A54" s="131"/>
      <c r="B54" s="132" t="s">
        <v>163</v>
      </c>
      <c r="C54" s="133">
        <f>Drogi!D430+'Ochrona zdrowia'!D10+Oświata!D49+Administracja!D108+Kultura!D10+'Rolnictwo i Ochrona środowiska'!D231+'Kultura fizyczna i turystyka'!D80</f>
        <v>460488243</v>
      </c>
      <c r="D54" s="529" t="e">
        <f>Drogi!E430+'Ochrona zdrowia'!E10+Oświata!E49+Administracja!E108+Kultura!E10+'Rolnictwo i Ochrona środowiska'!E231+'Kultura fizyczna i turystyka'!E80</f>
        <v>#REF!</v>
      </c>
      <c r="E54" s="529" t="e">
        <f>Drogi!F430+'Ochrona zdrowia'!F10+Oświata!F49+Administracja!F108+Kultura!F10+'Rolnictwo i Ochrona środowiska'!F231+'Kultura fizyczna i turystyka'!F80</f>
        <v>#REF!</v>
      </c>
      <c r="F54" s="529">
        <f>Drogi!G430+'Ochrona zdrowia'!G10+Oświata!G49+Administracja!G108+Kultura!G10+'Rolnictwo i Ochrona środowiska'!G231+'Kultura fizyczna i turystyka'!G80</f>
        <v>107996516</v>
      </c>
      <c r="G54" s="134">
        <f>Drogi!H430+'Ochrona zdrowia'!H10+Oświata!H49+Administracja!H108+Kultura!H10+'Rolnictwo i Ochrona środowiska'!H231+'Kultura fizyczna i turystyka'!H80</f>
        <v>214198835</v>
      </c>
      <c r="H54" s="133">
        <f>Drogi!I430+'Ochrona zdrowia'!I10+Oświata!I49+Administracja!I108+Kultura!I10+'Rolnictwo i Ochrona środowiska'!I231+'Kultura fizyczna i turystyka'!I80</f>
        <v>161872125</v>
      </c>
      <c r="I54" s="135">
        <f t="shared" si="27"/>
        <v>35.152281835781849</v>
      </c>
      <c r="J54" s="136">
        <f>Drogi!K430+'Ochrona zdrowia'!K10+Oświata!K49+Administracja!K108+Kultura!K10+'Rolnictwo i Ochrona środowiska'!K231+'Kultura fizyczna i turystyka'!K80</f>
        <v>25636640</v>
      </c>
      <c r="K54" s="137">
        <f t="shared" si="29"/>
        <v>23.738395412681644</v>
      </c>
      <c r="L54" s="138">
        <f>Drogi!M430+'Ochrona zdrowia'!M10+Oświata!M49+Administracja!M108+Kultura!M10+'Rolnictwo i Ochrona środowiska'!M231+'Kultura fizyczna i turystyka'!M80</f>
        <v>-80960876</v>
      </c>
      <c r="M54" s="128"/>
      <c r="N54" s="139"/>
      <c r="O54" s="35"/>
    </row>
    <row r="55" spans="1:17" ht="13.5" customHeight="1" x14ac:dyDescent="0.2">
      <c r="A55" s="17"/>
      <c r="B55" s="140" t="s">
        <v>164</v>
      </c>
      <c r="C55" s="141">
        <f>Drogi!D431+'Ochrona zdrowia'!D11+Oświata!D50+Administracja!D109+Kultura!D11+'Rolnictwo i Ochrona środowiska'!D232+'Kultura fizyczna i turystyka'!D81</f>
        <v>319746837.03250003</v>
      </c>
      <c r="D55" s="142" t="e">
        <f>Drogi!E431+'Ochrona zdrowia'!E11+Oświata!E50+Administracja!E109+Kultura!E11+'Rolnictwo i Ochrona środowiska'!E232+'Kultura fizyczna i turystyka'!E81</f>
        <v>#REF!</v>
      </c>
      <c r="E55" s="142" t="e">
        <f>Drogi!F431+'Ochrona zdrowia'!F11+Oświata!F50+Administracja!F109+Kultura!F11+'Rolnictwo i Ochrona środowiska'!F232+'Kultura fizyczna i turystyka'!F81</f>
        <v>#REF!</v>
      </c>
      <c r="F55" s="142">
        <f>Drogi!G431+'Ochrona zdrowia'!G11+Oświata!G50+Administracja!G109+Kultura!G11+'Rolnictwo i Ochrona środowiska'!G232+'Kultura fizyczna i turystyka'!G81</f>
        <v>69851635</v>
      </c>
      <c r="G55" s="143">
        <f>Drogi!H431+'Ochrona zdrowia'!H11+Oświata!H50+Administracja!H109+Kultura!H11+'Rolnictwo i Ochrona środowiska'!H232+'Kultura fizyczna i turystyka'!H81</f>
        <v>47065858</v>
      </c>
      <c r="H55" s="141">
        <f>Drogi!I431+'Ochrona zdrowia'!I11+Oświata!I50+Administracja!I109+Kultura!I11+'Rolnictwo i Ochrona środowiska'!I232+'Kultura fizyczna i turystyka'!I81</f>
        <v>204100871.0325</v>
      </c>
      <c r="I55" s="144">
        <f t="shared" si="27"/>
        <v>63.832021897922509</v>
      </c>
      <c r="J55" s="142">
        <f>Drogi!K431+'Ochrona zdrowia'!K11+Oświata!K50+Administracja!K109+Kultura!K11+'Rolnictwo i Ochrona środowiska'!K232+'Kultura fizyczna i turystyka'!K81</f>
        <v>2719738</v>
      </c>
      <c r="K55" s="145">
        <f t="shared" si="29"/>
        <v>3.8935924692385515</v>
      </c>
      <c r="L55" s="146">
        <f>Drogi!M431+'Ochrona zdrowia'!M11+Oświata!M50+Administracja!M109+Kultura!M11+'Rolnictwo i Ochrona środowiska'!M232+'Kultura fizyczna i turystyka'!M81</f>
        <v>-67131897</v>
      </c>
      <c r="M55" s="126"/>
      <c r="N55" s="34"/>
      <c r="O55" s="35"/>
    </row>
    <row r="56" spans="1:17" s="5" customFormat="1" ht="18" customHeight="1" x14ac:dyDescent="0.2">
      <c r="A56" s="470" t="s">
        <v>2</v>
      </c>
      <c r="B56" s="466"/>
      <c r="C56" s="471">
        <f t="shared" ref="C56:H56" si="31">+C57+C66</f>
        <v>1004944449.0325</v>
      </c>
      <c r="D56" s="472">
        <f t="shared" si="31"/>
        <v>257998026.0325</v>
      </c>
      <c r="E56" s="473">
        <f t="shared" si="31"/>
        <v>203045474</v>
      </c>
      <c r="F56" s="472">
        <f t="shared" si="31"/>
        <v>266414829</v>
      </c>
      <c r="G56" s="474">
        <f t="shared" si="31"/>
        <v>277486119</v>
      </c>
      <c r="H56" s="471">
        <f t="shared" si="31"/>
        <v>472724889.03250003</v>
      </c>
      <c r="I56" s="475">
        <f t="shared" si="27"/>
        <v>47.039902502830984</v>
      </c>
      <c r="J56" s="472">
        <f>+J57+J66</f>
        <v>31442072</v>
      </c>
      <c r="K56" s="476">
        <f t="shared" si="29"/>
        <v>11.80192263246728</v>
      </c>
      <c r="L56" s="477">
        <f>+L57+L66</f>
        <v>-234972757</v>
      </c>
      <c r="M56" s="110"/>
      <c r="N56" s="37"/>
      <c r="O56" s="4"/>
      <c r="P56" s="4"/>
      <c r="Q56" s="4"/>
    </row>
    <row r="57" spans="1:17" s="8" customFormat="1" ht="18" customHeight="1" x14ac:dyDescent="0.2">
      <c r="A57" s="461"/>
      <c r="B57" s="570" t="s">
        <v>3</v>
      </c>
      <c r="C57" s="566">
        <f t="shared" ref="C57:G57" si="32">SUM(C58:C65)</f>
        <v>855290485.03250003</v>
      </c>
      <c r="D57" s="467">
        <f t="shared" si="32"/>
        <v>203020997.0325</v>
      </c>
      <c r="E57" s="468">
        <f t="shared" si="32"/>
        <v>188688314</v>
      </c>
      <c r="F57" s="569">
        <f t="shared" si="32"/>
        <v>186095054</v>
      </c>
      <c r="G57" s="568">
        <f t="shared" si="32"/>
        <v>277486119</v>
      </c>
      <c r="H57" s="566">
        <f>SUM(H58:H65)</f>
        <v>407395168.03250003</v>
      </c>
      <c r="I57" s="547">
        <f t="shared" si="27"/>
        <v>47.632374633165654</v>
      </c>
      <c r="J57" s="569">
        <f>SUM(J58:J65)</f>
        <v>30242308</v>
      </c>
      <c r="K57" s="571">
        <f t="shared" si="29"/>
        <v>16.251000416163667</v>
      </c>
      <c r="L57" s="469">
        <f>SUM(L58:L65)</f>
        <v>-155852746</v>
      </c>
      <c r="M57" s="110"/>
      <c r="N57" s="37"/>
      <c r="O57" s="147"/>
      <c r="Q57" s="147"/>
    </row>
    <row r="58" spans="1:17" s="11" customFormat="1" ht="15.75" customHeight="1" x14ac:dyDescent="0.2">
      <c r="A58" s="461"/>
      <c r="B58" s="551" t="s">
        <v>258</v>
      </c>
      <c r="C58" s="554">
        <f>Drogi!D434+'Ochrona zdrowia'!D14+Oświata!D55+Administracja!D112</f>
        <v>585850947</v>
      </c>
      <c r="D58" s="111">
        <f>Drogi!E434+'Ochrona zdrowia'!E14+Oświata!E55+Administracja!E112</f>
        <v>107293401</v>
      </c>
      <c r="E58" s="111">
        <f>Drogi!F434+'Ochrona zdrowia'!F14+Oświata!F55+Administracja!F112</f>
        <v>134169145</v>
      </c>
      <c r="F58" s="72">
        <f>Drogi!G434+'Ochrona zdrowia'!G14+Oświata!G55+Administracja!G112</f>
        <v>109798266</v>
      </c>
      <c r="G58" s="567">
        <f>Drogi!H434+'Ochrona zdrowia'!H14+Oświata!H55+Administracja!H112</f>
        <v>234590135</v>
      </c>
      <c r="H58" s="554">
        <f>Drogi!I434+'Ochrona zdrowia'!I14+Oświata!I55+Administracja!I112</f>
        <v>262969674</v>
      </c>
      <c r="I58" s="65">
        <f t="shared" si="27"/>
        <v>44.88678824308532</v>
      </c>
      <c r="J58" s="561">
        <f>Drogi!K434+'Ochrona zdrowia'!K14+Oświata!K55+Administracja!K112</f>
        <v>25046644</v>
      </c>
      <c r="K58" s="575">
        <f t="shared" si="29"/>
        <v>22.811511431337177</v>
      </c>
      <c r="L58" s="112">
        <f>+J58-F58</f>
        <v>-84751622</v>
      </c>
      <c r="M58" s="110"/>
      <c r="N58" s="37"/>
      <c r="O58" s="10"/>
      <c r="Q58" s="10"/>
    </row>
    <row r="59" spans="1:17" s="11" customFormat="1" ht="15.75" customHeight="1" x14ac:dyDescent="0.2">
      <c r="A59" s="461"/>
      <c r="B59" s="552" t="s">
        <v>29</v>
      </c>
      <c r="C59" s="553">
        <f>Drogi!D437+'Rolnictwo i Ochrona środowiska'!D237</f>
        <v>5382189</v>
      </c>
      <c r="D59" s="111">
        <f>Drogi!E437+'Rolnictwo i Ochrona środowiska'!E237</f>
        <v>2004927</v>
      </c>
      <c r="E59" s="148">
        <f>Drogi!F437+'Rolnictwo i Ochrona środowiska'!F237</f>
        <v>2666251</v>
      </c>
      <c r="F59" s="555">
        <f>Drogi!G437+'Rolnictwo i Ochrona środowiska'!G237</f>
        <v>711011</v>
      </c>
      <c r="G59" s="91">
        <f>Drogi!H437+'Rolnictwo i Ochrona środowiska'!H237</f>
        <v>0</v>
      </c>
      <c r="H59" s="76">
        <f>Drogi!I437+'Rolnictwo i Ochrona środowiska'!I237</f>
        <v>4670951</v>
      </c>
      <c r="I59" s="572">
        <f t="shared" si="27"/>
        <v>86.785339570944089</v>
      </c>
      <c r="J59" s="581">
        <f>Drogi!K437+'Rolnictwo i Ochrona środowiska'!K237</f>
        <v>0</v>
      </c>
      <c r="K59" s="75">
        <f t="shared" si="29"/>
        <v>0</v>
      </c>
      <c r="L59" s="112">
        <f t="shared" ref="L59:L61" si="33">+J59-F59</f>
        <v>-711011</v>
      </c>
      <c r="M59" s="110"/>
      <c r="N59" s="37"/>
    </row>
    <row r="60" spans="1:17" s="11" customFormat="1" ht="15.75" customHeight="1" x14ac:dyDescent="0.2">
      <c r="A60" s="461"/>
      <c r="B60" s="551" t="s">
        <v>6</v>
      </c>
      <c r="C60" s="553">
        <f>'Ochrona zdrowia'!D15+Kultura!D14</f>
        <v>71401725</v>
      </c>
      <c r="D60" s="111">
        <f>'Ochrona zdrowia'!E15+Kultura!E14</f>
        <v>22119577</v>
      </c>
      <c r="E60" s="148">
        <f>'Ochrona zdrowia'!F15+Kultura!F14</f>
        <v>26380034</v>
      </c>
      <c r="F60" s="72">
        <f>'Ochrona zdrowia'!G15+Kultura!G14</f>
        <v>6680687</v>
      </c>
      <c r="G60" s="556">
        <f>'Ochrona zdrowia'!H15+Kultura!H14</f>
        <v>16221426</v>
      </c>
      <c r="H60" s="76">
        <f>'Ochrona zdrowia'!I15+Kultura!I14</f>
        <v>39976937</v>
      </c>
      <c r="I60" s="65">
        <f t="shared" si="27"/>
        <v>55.988755173632008</v>
      </c>
      <c r="J60" s="62">
        <f>'Ochrona zdrowia'!K15+Kultura!K14</f>
        <v>1885930</v>
      </c>
      <c r="K60" s="576">
        <f t="shared" si="29"/>
        <v>28.229581778041691</v>
      </c>
      <c r="L60" s="112">
        <f t="shared" si="33"/>
        <v>-4794757</v>
      </c>
      <c r="M60" s="110"/>
      <c r="N60" s="37"/>
    </row>
    <row r="61" spans="1:17" s="11" customFormat="1" ht="15.75" customHeight="1" x14ac:dyDescent="0.2">
      <c r="A61" s="461"/>
      <c r="B61" s="551" t="s">
        <v>231</v>
      </c>
      <c r="C61" s="553">
        <f>'Ochrona zdrowia'!D16+Oświata!D54+Kultura!D15+'Kultura fizyczna i turystyka'!D84</f>
        <v>119724468.0325</v>
      </c>
      <c r="D61" s="111">
        <f>'Ochrona zdrowia'!E16+Oświata!E54+Kultura!E15</f>
        <v>46286148.032499999</v>
      </c>
      <c r="E61" s="148">
        <f>'Ochrona zdrowia'!F16+Oświata!F54+Kultura!F15</f>
        <v>8322479</v>
      </c>
      <c r="F61" s="72">
        <f>'Ochrona zdrowia'!G16+Oświata!G54+Kultura!G15+'Kultura fizyczna i turystyka'!G84</f>
        <v>51630598</v>
      </c>
      <c r="G61" s="557">
        <f>'Ochrona zdrowia'!H16+Oświata!H54+Kultura!H15+'Kultura fizyczna i turystyka'!H84</f>
        <v>13485243</v>
      </c>
      <c r="H61" s="76">
        <f>'Ochrona zdrowia'!I16+Oświata!I54+Kultura!I15+'Kultura fizyczna i turystyka'!I84</f>
        <v>56593639.032499999</v>
      </c>
      <c r="I61" s="572">
        <f t="shared" si="27"/>
        <v>47.269902270217045</v>
      </c>
      <c r="J61" s="62">
        <f>'Ochrona zdrowia'!K16+Oświata!K54+Kultura!K15+'Kultura fizyczna i turystyka'!K84</f>
        <v>1985012</v>
      </c>
      <c r="K61" s="67">
        <f t="shared" si="29"/>
        <v>3.8446426671254126</v>
      </c>
      <c r="L61" s="112">
        <f t="shared" si="33"/>
        <v>-49645586</v>
      </c>
      <c r="M61" s="110"/>
      <c r="N61" s="37"/>
    </row>
    <row r="62" spans="1:17" s="11" customFormat="1" ht="15.75" customHeight="1" x14ac:dyDescent="0.2">
      <c r="A62" s="461"/>
      <c r="B62" s="552" t="s">
        <v>9</v>
      </c>
      <c r="C62" s="76">
        <f>Drogi!D436+'Ochrona zdrowia'!D18</f>
        <v>15781572</v>
      </c>
      <c r="D62" s="111">
        <f>Drogi!E436+'Ochrona zdrowia'!E18</f>
        <v>7637105</v>
      </c>
      <c r="E62" s="148">
        <f>Drogi!F436+'Ochrona zdrowia'!F18</f>
        <v>3678771</v>
      </c>
      <c r="F62" s="72">
        <f>Drogi!G436+'Ochrona zdrowia'!G18</f>
        <v>4465696</v>
      </c>
      <c r="G62" s="586">
        <f>Drogi!H436+'Ochrona zdrowia'!H18</f>
        <v>0</v>
      </c>
      <c r="H62" s="76">
        <f>Drogi!I436+'Ochrona zdrowia'!I18</f>
        <v>11350001</v>
      </c>
      <c r="I62" s="573">
        <f t="shared" si="27"/>
        <v>71.919330976660618</v>
      </c>
      <c r="J62" s="581">
        <f>Drogi!K436+'Ochrona zdrowia'!K18</f>
        <v>0</v>
      </c>
      <c r="K62" s="75">
        <f t="shared" si="29"/>
        <v>0</v>
      </c>
      <c r="L62" s="112">
        <f>+J62-F62</f>
        <v>-4465696</v>
      </c>
      <c r="M62" s="110"/>
      <c r="N62" s="37"/>
    </row>
    <row r="63" spans="1:17" s="11" customFormat="1" ht="15.75" customHeight="1" thickBot="1" x14ac:dyDescent="0.25">
      <c r="A63" s="461"/>
      <c r="B63" s="551" t="s">
        <v>7</v>
      </c>
      <c r="C63" s="554">
        <f>Drogi!D447+'Ochrona zdrowia'!D17</f>
        <v>52821543</v>
      </c>
      <c r="D63" s="111">
        <f>Drogi!E447+'Ochrona zdrowia'!E17</f>
        <v>17213705</v>
      </c>
      <c r="E63" s="148">
        <f>Drogi!F447+'Ochrona zdrowia'!F17</f>
        <v>11175943</v>
      </c>
      <c r="F63" s="72">
        <f>Drogi!G447+'Ochrona zdrowia'!G17</f>
        <v>11242580</v>
      </c>
      <c r="G63" s="557">
        <f>Drogi!H447+'Ochrona zdrowia'!H17</f>
        <v>13189315</v>
      </c>
      <c r="H63" s="76">
        <f>Drogi!I447+'Ochrona zdrowia'!I17</f>
        <v>29714370</v>
      </c>
      <c r="I63" s="573">
        <f t="shared" si="27"/>
        <v>56.254263530317552</v>
      </c>
      <c r="J63" s="72">
        <f>Drogi!K447+'Ochrona zdrowia'!K17</f>
        <v>1324722</v>
      </c>
      <c r="K63" s="67">
        <f t="shared" si="29"/>
        <v>11.783078261395517</v>
      </c>
      <c r="L63" s="112">
        <f>+J63-F63</f>
        <v>-9917858</v>
      </c>
      <c r="M63" s="129"/>
      <c r="N63" s="130"/>
    </row>
    <row r="64" spans="1:17" s="11" customFormat="1" ht="15.75" customHeight="1" x14ac:dyDescent="0.2">
      <c r="A64" s="461"/>
      <c r="B64" s="550" t="s">
        <v>232</v>
      </c>
      <c r="C64" s="553">
        <f>Oświata!D53</f>
        <v>3653680</v>
      </c>
      <c r="D64" s="103">
        <f>Oświata!E53</f>
        <v>5000</v>
      </c>
      <c r="E64" s="149">
        <f>Oświata!F53</f>
        <v>2082464</v>
      </c>
      <c r="F64" s="72">
        <f>Oświata!G53</f>
        <v>1566216</v>
      </c>
      <c r="G64" s="586">
        <f>Oświata!H53</f>
        <v>0</v>
      </c>
      <c r="H64" s="76">
        <f>Oświata!I53</f>
        <v>1445235</v>
      </c>
      <c r="I64" s="573">
        <f t="shared" si="27"/>
        <v>39.555598738805806</v>
      </c>
      <c r="J64" s="581">
        <f>Oświata!K53</f>
        <v>0</v>
      </c>
      <c r="K64" s="75">
        <f t="shared" si="29"/>
        <v>0</v>
      </c>
      <c r="L64" s="104">
        <f>+J64-F64</f>
        <v>-1566216</v>
      </c>
      <c r="M64" s="105"/>
      <c r="N64" s="106"/>
    </row>
    <row r="65" spans="1:17" s="11" customFormat="1" ht="13.5" customHeight="1" x14ac:dyDescent="0.2">
      <c r="A65" s="461"/>
      <c r="B65" s="558" t="s">
        <v>8</v>
      </c>
      <c r="C65" s="553">
        <f>'Rolnictwo i Ochrona środowiska'!D236</f>
        <v>674361</v>
      </c>
      <c r="D65" s="111">
        <f>'Rolnictwo i Ochrona środowiska'!E236</f>
        <v>461134</v>
      </c>
      <c r="E65" s="148">
        <f>'Rolnictwo i Ochrona środowiska'!F236</f>
        <v>213227</v>
      </c>
      <c r="F65" s="90">
        <f>'Rolnictwo i Ochrona środowiska'!G236</f>
        <v>0</v>
      </c>
      <c r="G65" s="586">
        <f>'Rolnictwo i Ochrona środowiska'!H236</f>
        <v>0</v>
      </c>
      <c r="H65" s="76">
        <f>'Rolnictwo i Ochrona środowiska'!I236</f>
        <v>674361</v>
      </c>
      <c r="I65" s="65">
        <f t="shared" si="27"/>
        <v>100</v>
      </c>
      <c r="J65" s="581">
        <f>'Rolnictwo i Ochrona środowiska'!K236</f>
        <v>0</v>
      </c>
      <c r="K65" s="577">
        <v>0</v>
      </c>
      <c r="L65" s="112">
        <f>+J65-F65</f>
        <v>0</v>
      </c>
      <c r="M65" s="110"/>
      <c r="N65" s="37"/>
    </row>
    <row r="66" spans="1:17" s="11" customFormat="1" ht="18" customHeight="1" x14ac:dyDescent="0.2">
      <c r="A66" s="461"/>
      <c r="B66" s="559" t="s">
        <v>12</v>
      </c>
      <c r="C66" s="81">
        <f t="shared" ref="C66:H66" si="34">SUM(C67:C67)</f>
        <v>149653964</v>
      </c>
      <c r="D66" s="108">
        <f t="shared" si="34"/>
        <v>54977029</v>
      </c>
      <c r="E66" s="109">
        <f t="shared" si="34"/>
        <v>14357160</v>
      </c>
      <c r="F66" s="79">
        <f t="shared" si="34"/>
        <v>80319775</v>
      </c>
      <c r="G66" s="588">
        <f t="shared" si="34"/>
        <v>0</v>
      </c>
      <c r="H66" s="560">
        <f t="shared" si="34"/>
        <v>65329721</v>
      </c>
      <c r="I66" s="574">
        <f t="shared" si="27"/>
        <v>43.653852697146064</v>
      </c>
      <c r="J66" s="79">
        <f>SUM(J67:J67)</f>
        <v>1199764</v>
      </c>
      <c r="K66" s="578">
        <f t="shared" si="29"/>
        <v>1.4937342640713325</v>
      </c>
      <c r="L66" s="150">
        <f>SUM(L67:L67)</f>
        <v>-79120011</v>
      </c>
      <c r="M66" s="110"/>
      <c r="N66" s="37"/>
    </row>
    <row r="67" spans="1:17" s="11" customFormat="1" ht="15.75" customHeight="1" thickBot="1" x14ac:dyDescent="0.25">
      <c r="A67" s="461"/>
      <c r="B67" s="551" t="s">
        <v>15</v>
      </c>
      <c r="C67" s="76">
        <f>'Ochrona zdrowia'!D20+Oświata!D57+Kultura!D17</f>
        <v>149653964</v>
      </c>
      <c r="D67" s="111">
        <f>'Ochrona zdrowia'!E20+Oświata!E57+Kultura!E17</f>
        <v>54977029</v>
      </c>
      <c r="E67" s="111">
        <f>'Ochrona zdrowia'!F20+Oświata!F57+Kultura!F17</f>
        <v>14357160</v>
      </c>
      <c r="F67" s="561">
        <f>'Ochrona zdrowia'!G20+Oświata!G57+Kultura!G17</f>
        <v>80319775</v>
      </c>
      <c r="G67" s="91">
        <f>'Ochrona zdrowia'!H20+Oświata!H57+Kultura!H17</f>
        <v>0</v>
      </c>
      <c r="H67" s="562">
        <f>'Ochrona zdrowia'!I20+Oświata!I57+Kultura!I17</f>
        <v>65329721</v>
      </c>
      <c r="I67" s="65">
        <f t="shared" si="27"/>
        <v>43.653852697146064</v>
      </c>
      <c r="J67" s="72">
        <f>'Ochrona zdrowia'!K20+Oświata!K57+Kultura!K17</f>
        <v>1199764</v>
      </c>
      <c r="K67" s="67">
        <f t="shared" si="29"/>
        <v>1.4937342640713325</v>
      </c>
      <c r="L67" s="112">
        <f>+J67-F67</f>
        <v>-79120011</v>
      </c>
      <c r="M67" s="151"/>
      <c r="N67" s="130"/>
    </row>
    <row r="68" spans="1:17" s="13" customFormat="1" ht="18" customHeight="1" x14ac:dyDescent="0.2">
      <c r="A68" s="470" t="s">
        <v>16</v>
      </c>
      <c r="B68" s="466"/>
      <c r="C68" s="152">
        <f>+C69+C75</f>
        <v>250093902</v>
      </c>
      <c r="D68" s="153">
        <f>+D69+D75</f>
        <v>86417636</v>
      </c>
      <c r="E68" s="153">
        <f>+E69+E75</f>
        <v>34289449</v>
      </c>
      <c r="F68" s="94">
        <f>+F69+F75</f>
        <v>116197502</v>
      </c>
      <c r="G68" s="99">
        <f>+G69+G75</f>
        <v>13189315</v>
      </c>
      <c r="H68" s="96">
        <f t="shared" ref="H68" si="35">+H69+H75</f>
        <v>117159611</v>
      </c>
      <c r="I68" s="563">
        <f t="shared" si="27"/>
        <v>46.846248574265523</v>
      </c>
      <c r="J68" s="564">
        <f>+J69+J75</f>
        <v>3788087</v>
      </c>
      <c r="K68" s="565">
        <f t="shared" si="29"/>
        <v>3.2600416831680255</v>
      </c>
      <c r="L68" s="154">
        <f>+L69+L75</f>
        <v>-112409415</v>
      </c>
      <c r="M68" s="155"/>
      <c r="N68" s="37"/>
      <c r="O68" s="12"/>
      <c r="P68" s="12"/>
      <c r="Q68" s="12"/>
    </row>
    <row r="69" spans="1:17" s="11" customFormat="1" ht="15" customHeight="1" x14ac:dyDescent="0.2">
      <c r="A69" s="461"/>
      <c r="B69" s="77" t="s">
        <v>17</v>
      </c>
      <c r="C69" s="462">
        <f>SUM(C70:C74)</f>
        <v>100439938</v>
      </c>
      <c r="D69" s="463">
        <f>SUM(D70:D74)</f>
        <v>29696691</v>
      </c>
      <c r="E69" s="464">
        <f>SUM(E70:E74)</f>
        <v>21119011</v>
      </c>
      <c r="F69" s="463">
        <f>SUM(F70:F74)</f>
        <v>36434921</v>
      </c>
      <c r="G69" s="465">
        <f>SUM(G70:G74)</f>
        <v>13189315</v>
      </c>
      <c r="H69" s="464">
        <f t="shared" ref="H69" si="36">SUM(H70:H74)</f>
        <v>51069558</v>
      </c>
      <c r="I69" s="156">
        <f t="shared" si="27"/>
        <v>50.845867706529248</v>
      </c>
      <c r="J69" s="463">
        <f>SUM(J70:J74)</f>
        <v>2280205</v>
      </c>
      <c r="K69" s="157">
        <f t="shared" si="29"/>
        <v>6.2582954413432104</v>
      </c>
      <c r="L69" s="465">
        <f>SUM(L70:L74)</f>
        <v>-34154716</v>
      </c>
      <c r="M69" s="36"/>
      <c r="N69" s="37"/>
      <c r="O69" s="10"/>
      <c r="P69" s="10"/>
      <c r="Q69" s="10"/>
    </row>
    <row r="70" spans="1:17" s="11" customFormat="1" ht="15" customHeight="1" x14ac:dyDescent="0.2">
      <c r="A70" s="461"/>
      <c r="B70" s="69" t="s">
        <v>7</v>
      </c>
      <c r="C70" s="158">
        <f>Drogi!D440+'Ochrona zdrowia'!D23</f>
        <v>52821543</v>
      </c>
      <c r="D70" s="159">
        <f>Drogi!E440+'Ochrona zdrowia'!E23</f>
        <v>17213705</v>
      </c>
      <c r="E70" s="160">
        <f>Drogi!F440+'Ochrona zdrowia'!F23</f>
        <v>11175943</v>
      </c>
      <c r="F70" s="159">
        <f>Drogi!G440+'Ochrona zdrowia'!G23</f>
        <v>11242580</v>
      </c>
      <c r="G70" s="161">
        <f>Drogi!H440+'Ochrona zdrowia'!H23</f>
        <v>13189315</v>
      </c>
      <c r="H70" s="160">
        <f>Drogi!I440+'Ochrona zdrowia'!I23</f>
        <v>29714370</v>
      </c>
      <c r="I70" s="65">
        <f t="shared" si="27"/>
        <v>56.254263530317552</v>
      </c>
      <c r="J70" s="159">
        <f>Drogi!K440+'Ochrona zdrowia'!K23</f>
        <v>1324722</v>
      </c>
      <c r="K70" s="67">
        <f t="shared" si="29"/>
        <v>11.783078261395517</v>
      </c>
      <c r="L70" s="489">
        <f>+J70-F70</f>
        <v>-9917858</v>
      </c>
      <c r="M70" s="36"/>
      <c r="N70" s="37"/>
      <c r="O70" s="10"/>
      <c r="Q70" s="10"/>
    </row>
    <row r="71" spans="1:17" s="11" customFormat="1" ht="15" customHeight="1" x14ac:dyDescent="0.2">
      <c r="A71" s="461"/>
      <c r="B71" s="69" t="s">
        <v>9</v>
      </c>
      <c r="C71" s="158">
        <f>Drogi!D441+'Ochrona zdrowia'!D24</f>
        <v>15781572</v>
      </c>
      <c r="D71" s="159">
        <f>Drogi!E441+'Ochrona zdrowia'!E24</f>
        <v>7637105</v>
      </c>
      <c r="E71" s="160">
        <f>Drogi!F441+'Ochrona zdrowia'!F24</f>
        <v>3678771</v>
      </c>
      <c r="F71" s="159">
        <f>Drogi!G441+'Ochrona zdrowia'!G24</f>
        <v>4465696</v>
      </c>
      <c r="G71" s="91">
        <f>Drogi!H441+'Ochrona zdrowia'!H24</f>
        <v>0</v>
      </c>
      <c r="H71" s="160">
        <f>Drogi!I441+'Ochrona zdrowia'!I24</f>
        <v>11637296</v>
      </c>
      <c r="I71" s="65">
        <f t="shared" si="27"/>
        <v>73.73977700066888</v>
      </c>
      <c r="J71" s="159">
        <f>Drogi!K441+'Ochrona zdrowia'!K24</f>
        <v>287295</v>
      </c>
      <c r="K71" s="67">
        <f t="shared" si="29"/>
        <v>6.4333756708920626</v>
      </c>
      <c r="L71" s="489">
        <f t="shared" ref="L71:L73" si="37">+J71-F71</f>
        <v>-4178401</v>
      </c>
      <c r="M71" s="36"/>
      <c r="N71" s="37"/>
    </row>
    <row r="72" spans="1:17" s="11" customFormat="1" ht="15" customHeight="1" x14ac:dyDescent="0.2">
      <c r="A72" s="461"/>
      <c r="B72" s="69" t="s">
        <v>29</v>
      </c>
      <c r="C72" s="158">
        <f>Drogi!D442+'Rolnictwo i Ochrona środowiska'!D241</f>
        <v>5382189</v>
      </c>
      <c r="D72" s="159">
        <f>Drogi!E442+'Rolnictwo i Ochrona środowiska'!E241</f>
        <v>2717427</v>
      </c>
      <c r="E72" s="160">
        <f>Drogi!F442+'Rolnictwo i Ochrona środowiska'!F241</f>
        <v>1953751</v>
      </c>
      <c r="F72" s="159">
        <f>Drogi!G442+'Rolnictwo i Ochrona środowiska'!G241</f>
        <v>711011</v>
      </c>
      <c r="G72" s="501">
        <f>Drogi!H442+'Rolnictwo i Ochrona środowiska'!H241</f>
        <v>0</v>
      </c>
      <c r="H72" s="539">
        <f>Drogi!I442+'Rolnictwo i Ochrona środowiska'!I241</f>
        <v>4670951</v>
      </c>
      <c r="I72" s="65">
        <f t="shared" si="27"/>
        <v>86.785339570944089</v>
      </c>
      <c r="J72" s="581">
        <f>Drogi!K442+'Rolnictwo i Ochrona środowiska'!K241</f>
        <v>0</v>
      </c>
      <c r="K72" s="577">
        <f t="shared" si="29"/>
        <v>0</v>
      </c>
      <c r="L72" s="489">
        <f t="shared" si="37"/>
        <v>-711011</v>
      </c>
      <c r="M72" s="36"/>
      <c r="N72" s="37"/>
    </row>
    <row r="73" spans="1:17" s="11" customFormat="1" ht="15" customHeight="1" x14ac:dyDescent="0.2">
      <c r="A73" s="461"/>
      <c r="B73" s="162" t="s">
        <v>233</v>
      </c>
      <c r="C73" s="158">
        <f>Kultura!D20+Oświata!D61</f>
        <v>25780273</v>
      </c>
      <c r="D73" s="159">
        <f>Kultura!E20+Oświata!E61</f>
        <v>1667320</v>
      </c>
      <c r="E73" s="160">
        <f>Kultura!F20+Oświata!F61</f>
        <v>4097319</v>
      </c>
      <c r="F73" s="159">
        <f>Kultura!G20+Oświata!G61</f>
        <v>20015634</v>
      </c>
      <c r="G73" s="91">
        <f>Kultura!H20+Oświata!H61</f>
        <v>0</v>
      </c>
      <c r="H73" s="160">
        <f>Kultura!I20+Oświata!I61</f>
        <v>4372580</v>
      </c>
      <c r="I73" s="65">
        <f t="shared" si="27"/>
        <v>16.960953051195386</v>
      </c>
      <c r="J73" s="159">
        <f>Kultura!K20+Oświata!K61</f>
        <v>668188</v>
      </c>
      <c r="K73" s="67">
        <f t="shared" si="29"/>
        <v>3.3383304271051317</v>
      </c>
      <c r="L73" s="489">
        <f t="shared" si="37"/>
        <v>-19347446</v>
      </c>
      <c r="M73" s="36"/>
      <c r="N73" s="37"/>
    </row>
    <row r="74" spans="1:17" s="11" customFormat="1" ht="18" customHeight="1" x14ac:dyDescent="0.2">
      <c r="A74" s="461"/>
      <c r="B74" s="69" t="s">
        <v>8</v>
      </c>
      <c r="C74" s="158">
        <f>'Rolnictwo i Ochrona środowiska'!D240</f>
        <v>674361</v>
      </c>
      <c r="D74" s="159">
        <f>'Rolnictwo i Ochrona środowiska'!E240</f>
        <v>461134</v>
      </c>
      <c r="E74" s="160">
        <f>'Rolnictwo i Ochrona środowiska'!F240</f>
        <v>213227</v>
      </c>
      <c r="F74" s="587">
        <f>'Rolnictwo i Ochrona środowiska'!G240</f>
        <v>0</v>
      </c>
      <c r="G74" s="501">
        <f>'Rolnictwo i Ochrona środowiska'!H240</f>
        <v>0</v>
      </c>
      <c r="H74" s="539">
        <f>'Rolnictwo i Ochrona środowiska'!I240</f>
        <v>674361</v>
      </c>
      <c r="I74" s="65">
        <f t="shared" si="27"/>
        <v>100</v>
      </c>
      <c r="J74" s="581">
        <f>'Rolnictwo i Ochrona środowiska'!K240</f>
        <v>0</v>
      </c>
      <c r="K74" s="75">
        <v>0</v>
      </c>
      <c r="L74" s="63">
        <f>+J74-F74</f>
        <v>0</v>
      </c>
      <c r="M74" s="36"/>
      <c r="N74" s="37"/>
    </row>
    <row r="75" spans="1:17" s="11" customFormat="1" ht="14.25" customHeight="1" thickBot="1" x14ac:dyDescent="0.25">
      <c r="A75" s="461"/>
      <c r="B75" s="163" t="s">
        <v>12</v>
      </c>
      <c r="C75" s="164">
        <f t="shared" ref="C75:H75" si="38">SUM(C76:C76)</f>
        <v>149653964</v>
      </c>
      <c r="D75" s="165">
        <f t="shared" si="38"/>
        <v>56720945</v>
      </c>
      <c r="E75" s="166">
        <f t="shared" si="38"/>
        <v>13170438</v>
      </c>
      <c r="F75" s="165">
        <f t="shared" si="38"/>
        <v>79762581</v>
      </c>
      <c r="G75" s="579">
        <f t="shared" si="38"/>
        <v>0</v>
      </c>
      <c r="H75" s="166">
        <f t="shared" si="38"/>
        <v>66090053</v>
      </c>
      <c r="I75" s="167">
        <f t="shared" si="27"/>
        <v>44.161912744255808</v>
      </c>
      <c r="J75" s="165">
        <f>SUM(J76:J76)</f>
        <v>1507882</v>
      </c>
      <c r="K75" s="168">
        <f t="shared" si="29"/>
        <v>1.8904628976336662</v>
      </c>
      <c r="L75" s="169">
        <f>SUM(L76:L76)</f>
        <v>-78254699</v>
      </c>
      <c r="M75" s="170"/>
      <c r="N75" s="130"/>
    </row>
    <row r="76" spans="1:17" s="11" customFormat="1" ht="15.75" customHeight="1" thickBot="1" x14ac:dyDescent="0.25">
      <c r="A76" s="478"/>
      <c r="B76" s="479" t="s">
        <v>15</v>
      </c>
      <c r="C76" s="480">
        <f>'Ochrona zdrowia'!D26+Oświata!D63+Kultura!D22</f>
        <v>149653964</v>
      </c>
      <c r="D76" s="481">
        <f>'Ochrona zdrowia'!E26+Oświata!E63+Kultura!E22</f>
        <v>56720945</v>
      </c>
      <c r="E76" s="482">
        <f>'Ochrona zdrowia'!F26+Oświata!F63+Kultura!F22</f>
        <v>13170438</v>
      </c>
      <c r="F76" s="481">
        <f>'Ochrona zdrowia'!G26+Oświata!G63+Kultura!G22</f>
        <v>79762581</v>
      </c>
      <c r="G76" s="580">
        <f>'Ochrona zdrowia'!H26+Oświata!H63+Kultura!H22</f>
        <v>0</v>
      </c>
      <c r="H76" s="483">
        <f>'Ochrona zdrowia'!I26+Oświata!I63+Kultura!I22</f>
        <v>66090053</v>
      </c>
      <c r="I76" s="484">
        <f t="shared" si="27"/>
        <v>44.161912744255808</v>
      </c>
      <c r="J76" s="483">
        <f>'Ochrona zdrowia'!K26+Oświata!K63+Kultura!K22</f>
        <v>1507882</v>
      </c>
      <c r="K76" s="485">
        <f t="shared" si="29"/>
        <v>1.8904628976336662</v>
      </c>
      <c r="L76" s="486">
        <f>+J76-F76</f>
        <v>-78254699</v>
      </c>
      <c r="M76" s="171"/>
      <c r="N76" s="106"/>
    </row>
    <row r="77" spans="1:17" s="11" customFormat="1" ht="9.75" customHeight="1" thickBot="1" x14ac:dyDescent="0.25">
      <c r="A77" s="504"/>
      <c r="B77" s="504"/>
      <c r="C77" s="504"/>
      <c r="D77" s="504"/>
      <c r="E77" s="504"/>
      <c r="F77" s="504"/>
      <c r="G77" s="504"/>
      <c r="H77" s="504"/>
      <c r="I77" s="504"/>
      <c r="J77" s="504"/>
      <c r="K77" s="504"/>
      <c r="L77" s="504"/>
      <c r="M77" s="172"/>
      <c r="N77" s="130"/>
    </row>
    <row r="78" spans="1:17" s="13" customFormat="1" ht="20.25" customHeight="1" thickBot="1" x14ac:dyDescent="0.25">
      <c r="A78" s="3053" t="s">
        <v>18</v>
      </c>
      <c r="B78" s="3054"/>
      <c r="C78" s="173">
        <f>C58+C59+C61+C62+C63+C65</f>
        <v>780235080.03250003</v>
      </c>
      <c r="D78" s="116">
        <f t="shared" ref="D78:G78" si="39">D58+D59+D61+D62+D63+D65</f>
        <v>180896420.0325</v>
      </c>
      <c r="E78" s="116">
        <f t="shared" si="39"/>
        <v>160225816</v>
      </c>
      <c r="F78" s="116">
        <f t="shared" si="39"/>
        <v>177848151</v>
      </c>
      <c r="G78" s="117">
        <f t="shared" si="39"/>
        <v>261264693</v>
      </c>
      <c r="H78" s="174">
        <f>H58+H59+H61+H62+H63+H65</f>
        <v>365972996.03250003</v>
      </c>
      <c r="I78" s="119">
        <f>H78/C78*100</f>
        <v>46.905478284474952</v>
      </c>
      <c r="J78" s="116">
        <f>J58+J59+J61+J62+J63+J65</f>
        <v>28356378</v>
      </c>
      <c r="K78" s="175">
        <f>J78/F78*100</f>
        <v>15.944151142735244</v>
      </c>
      <c r="L78" s="176">
        <f t="shared" ref="L78" si="40">L58+L59+L61+L62+L63+L65</f>
        <v>-149491773</v>
      </c>
      <c r="M78" s="36">
        <f>+J78-F78</f>
        <v>-149491773</v>
      </c>
      <c r="N78" s="37">
        <f>+L78-M78</f>
        <v>0</v>
      </c>
      <c r="O78" s="12"/>
    </row>
    <row r="79" spans="1:17" s="13" customFormat="1" ht="21" customHeight="1" thickBot="1" x14ac:dyDescent="0.25">
      <c r="A79" s="3047" t="s">
        <v>21</v>
      </c>
      <c r="B79" s="3048"/>
      <c r="C79" s="177">
        <f>C70+C71+C72+C74+C73</f>
        <v>100439938</v>
      </c>
      <c r="D79" s="178">
        <f t="shared" ref="D79:G79" si="41">D70+D71+D72+D74+D73</f>
        <v>29696691</v>
      </c>
      <c r="E79" s="178">
        <f t="shared" si="41"/>
        <v>21119011</v>
      </c>
      <c r="F79" s="178">
        <f t="shared" si="41"/>
        <v>36434921</v>
      </c>
      <c r="G79" s="179">
        <f t="shared" si="41"/>
        <v>13189315</v>
      </c>
      <c r="H79" s="180">
        <f>H70+H71+H72+H74+H73</f>
        <v>51069558</v>
      </c>
      <c r="I79" s="181">
        <f>H79/C79*100</f>
        <v>50.845867706529248</v>
      </c>
      <c r="J79" s="178">
        <f>J70+J71+J72+J74+J73</f>
        <v>2280205</v>
      </c>
      <c r="K79" s="182">
        <f>J79/F79*100</f>
        <v>6.2582954413432104</v>
      </c>
      <c r="L79" s="183">
        <f>L70+L71+L72+L74+L73</f>
        <v>-34154716</v>
      </c>
      <c r="M79" s="36">
        <f>+J79-F79</f>
        <v>-34154716</v>
      </c>
      <c r="N79" s="37">
        <f>+L79-M79</f>
        <v>0</v>
      </c>
      <c r="O79" s="12"/>
    </row>
    <row r="80" spans="1:17" s="13" customFormat="1" ht="18" hidden="1" customHeight="1" thickBot="1" x14ac:dyDescent="0.25">
      <c r="A80" s="458"/>
      <c r="B80" s="433"/>
      <c r="C80" s="455"/>
      <c r="D80" s="455"/>
      <c r="E80" s="455"/>
      <c r="F80" s="455"/>
      <c r="G80" s="455"/>
      <c r="H80" s="455"/>
      <c r="I80" s="457"/>
      <c r="J80" s="455"/>
      <c r="K80" s="457"/>
      <c r="L80" s="455"/>
      <c r="M80" s="456"/>
      <c r="N80" s="37"/>
      <c r="O80" s="12"/>
    </row>
    <row r="81" spans="1:18" s="13" customFormat="1" ht="18" hidden="1" customHeight="1" thickBot="1" x14ac:dyDescent="0.25">
      <c r="A81" s="3049" t="s">
        <v>282</v>
      </c>
      <c r="B81" s="3050"/>
      <c r="C81" s="184">
        <f t="shared" ref="C81:H81" si="42">+C78+C43</f>
        <v>2139496441.4325001</v>
      </c>
      <c r="D81" s="184">
        <f t="shared" si="42"/>
        <v>830719494.4325</v>
      </c>
      <c r="E81" s="184">
        <f t="shared" si="42"/>
        <v>404139179</v>
      </c>
      <c r="F81" s="184">
        <f t="shared" si="42"/>
        <v>483739104</v>
      </c>
      <c r="G81" s="184">
        <f t="shared" si="42"/>
        <v>420898664</v>
      </c>
      <c r="H81" s="185">
        <f t="shared" si="42"/>
        <v>1280355588.1725001</v>
      </c>
      <c r="I81" s="186">
        <f>H81/C81*100</f>
        <v>59.84378208711756</v>
      </c>
      <c r="J81" s="184">
        <f>+J78+J43</f>
        <v>53298877.739999995</v>
      </c>
      <c r="K81" s="187">
        <f>J81/F81*100</f>
        <v>11.018104035682837</v>
      </c>
      <c r="L81" s="188">
        <f>+L78+L43</f>
        <v>-430440226.25999999</v>
      </c>
      <c r="M81" s="36">
        <f>+J81-F81</f>
        <v>-430440226.25999999</v>
      </c>
      <c r="N81" s="37">
        <f>+L81-M81</f>
        <v>0</v>
      </c>
      <c r="O81" s="12" t="e">
        <f>+Drogi!H11+Drogi!H429+'Polityka społeczna i rozwój prz'!H9+'Ochrona zdrowia'!H9+Oświata!H10+Oświata!H48+Administracja!H10+Administracja!H107+Kultura!H9+'Rolnictwo i Ochrona środowiska'!H230+'Rolnictwo i Ochrona środowiska'!H9+'Kultura fizyczna i turystyka'!H11+'Planowanie przestrzenne'!H11+'Kultura fizyczna i turystyka'!#REF!</f>
        <v>#REF!</v>
      </c>
      <c r="P81" s="12" t="e">
        <f>+Drogi!I11+Drogi!I429+'Polityka społeczna i rozwój prz'!I9+'Ochrona zdrowia'!I9+Oświata!I10+Oświata!I48+Administracja!I10+Administracja!I107+Kultura!I9+'Rolnictwo i Ochrona środowiska'!I230+'Rolnictwo i Ochrona środowiska'!I9+'Kultura fizyczna i turystyka'!I11+'Planowanie przestrzenne'!I11+'Kultura fizyczna i turystyka'!#REF!</f>
        <v>#REF!</v>
      </c>
      <c r="Q81" s="12">
        <f>+Drogi!J11+Drogi!J429+'Polityka społeczna i rozwój prz'!J9+'Ochrona zdrowia'!J9+Oświata!J10+Oświata!J48+Administracja!J10+Administracja!J107+Kultura!J9+'Rolnictwo i Ochrona środowiska'!J230+'Rolnictwo i Ochrona środowiska'!J9+'Kultura fizyczna i turystyka'!J11+'Planowanie przestrzenne'!J11</f>
        <v>692.81944729748261</v>
      </c>
      <c r="R81" s="12">
        <f>+Drogi!K11+Drogi!K429+'Polityka społeczna i rozwój prz'!K9+'Ochrona zdrowia'!K9+Oświata!K10+Oświata!K48+Administracja!K10+Administracja!K107+Kultura!K9+'Rolnictwo i Ochrona środowiska'!K230+'Rolnictwo i Ochrona środowiska'!K9+'Kultura fizyczna i turystyka'!K11+'Planowanie przestrzenne'!K11</f>
        <v>52708877.740000002</v>
      </c>
    </row>
    <row r="82" spans="1:18" s="13" customFormat="1" ht="15" hidden="1" thickBot="1" x14ac:dyDescent="0.25">
      <c r="A82" s="3055" t="s">
        <v>163</v>
      </c>
      <c r="B82" s="3056"/>
      <c r="C82" s="189">
        <f t="shared" ref="C82:H83" si="43">+C12+C54</f>
        <v>794601705.70000005</v>
      </c>
      <c r="D82" s="190" t="e">
        <f t="shared" si="43"/>
        <v>#REF!</v>
      </c>
      <c r="E82" s="190" t="e">
        <f t="shared" si="43"/>
        <v>#REF!</v>
      </c>
      <c r="F82" s="190">
        <f t="shared" si="43"/>
        <v>189830000</v>
      </c>
      <c r="G82" s="191">
        <f t="shared" si="43"/>
        <v>257902830</v>
      </c>
      <c r="H82" s="192">
        <f t="shared" si="43"/>
        <v>377785252.79999995</v>
      </c>
      <c r="I82" s="193">
        <f t="shared" ref="I82:I83" si="44">H82/C82*100</f>
        <v>47.543977075557883</v>
      </c>
      <c r="J82" s="190">
        <f>+J12+J54</f>
        <v>36103784.100000001</v>
      </c>
      <c r="K82" s="194">
        <f>J82/F82*100</f>
        <v>19.019008639308858</v>
      </c>
      <c r="L82" s="195">
        <f>+L12+L54</f>
        <v>-151092160.90000001</v>
      </c>
      <c r="M82" s="36"/>
      <c r="N82" s="37"/>
      <c r="O82" s="12"/>
      <c r="P82" s="12"/>
      <c r="Q82" s="12"/>
      <c r="R82" s="12"/>
    </row>
    <row r="83" spans="1:18" s="13" customFormat="1" ht="15" hidden="1" thickBot="1" x14ac:dyDescent="0.25">
      <c r="A83" s="3057" t="s">
        <v>164</v>
      </c>
      <c r="B83" s="3058"/>
      <c r="C83" s="196">
        <f t="shared" si="43"/>
        <v>1344894735.7325001</v>
      </c>
      <c r="D83" s="197" t="e">
        <f t="shared" si="43"/>
        <v>#REF!</v>
      </c>
      <c r="E83" s="197" t="e">
        <f t="shared" si="43"/>
        <v>#REF!</v>
      </c>
      <c r="F83" s="197">
        <f t="shared" si="43"/>
        <v>293909104</v>
      </c>
      <c r="G83" s="198">
        <f t="shared" si="43"/>
        <v>162995834</v>
      </c>
      <c r="H83" s="199">
        <f t="shared" si="43"/>
        <v>902570335.37249994</v>
      </c>
      <c r="I83" s="200">
        <f t="shared" si="44"/>
        <v>67.110853466231532</v>
      </c>
      <c r="J83" s="197">
        <f>+J13+J55</f>
        <v>17195093.640000001</v>
      </c>
      <c r="K83" s="201">
        <f>J83/F83*100</f>
        <v>5.8504800994527884</v>
      </c>
      <c r="L83" s="202">
        <f>+L13+L55</f>
        <v>-276714010.36000001</v>
      </c>
      <c r="M83" s="102"/>
      <c r="N83" s="37"/>
      <c r="O83" s="10">
        <f>+J81-F81</f>
        <v>-430440226.25999999</v>
      </c>
      <c r="P83" s="12"/>
      <c r="Q83" s="12"/>
      <c r="R83" s="12"/>
    </row>
    <row r="84" spans="1:18" s="13" customFormat="1" ht="18" hidden="1" customHeight="1" thickBot="1" x14ac:dyDescent="0.25">
      <c r="A84" s="3051" t="s">
        <v>22</v>
      </c>
      <c r="B84" s="3052"/>
      <c r="C84" s="203">
        <f t="shared" ref="C84:H84" si="45">+C44+C79</f>
        <v>1321989849.4000001</v>
      </c>
      <c r="D84" s="184">
        <f t="shared" si="45"/>
        <v>611571922.39999998</v>
      </c>
      <c r="E84" s="184">
        <f t="shared" si="45"/>
        <v>244638732</v>
      </c>
      <c r="F84" s="184">
        <f t="shared" si="45"/>
        <v>309744735</v>
      </c>
      <c r="G84" s="204">
        <f t="shared" si="45"/>
        <v>156034460</v>
      </c>
      <c r="H84" s="185">
        <f t="shared" si="45"/>
        <v>895342037.39999998</v>
      </c>
      <c r="I84" s="186">
        <f>H84/C84*100</f>
        <v>67.726846602215659</v>
      </c>
      <c r="J84" s="184">
        <f>+J44+J79</f>
        <v>39306638</v>
      </c>
      <c r="K84" s="187">
        <f>J84/F84*100</f>
        <v>12.690010049726915</v>
      </c>
      <c r="L84" s="188">
        <f>+L44+L79</f>
        <v>-270438097</v>
      </c>
      <c r="M84" s="171">
        <f>+J84-F84</f>
        <v>-270438097</v>
      </c>
      <c r="N84" s="106">
        <f>+L84-M84</f>
        <v>0</v>
      </c>
    </row>
    <row r="85" spans="1:18" s="11" customFormat="1" ht="7.5" customHeight="1" x14ac:dyDescent="0.2">
      <c r="A85" s="121"/>
      <c r="B85" s="122"/>
      <c r="C85" s="122"/>
      <c r="D85" s="123"/>
      <c r="E85" s="123"/>
      <c r="F85" s="123"/>
      <c r="G85" s="123"/>
      <c r="H85" s="123"/>
      <c r="I85" s="123"/>
      <c r="J85" s="123"/>
      <c r="K85" s="123"/>
      <c r="L85" s="124"/>
      <c r="N85" s="206"/>
    </row>
    <row r="86" spans="1:18" s="11" customFormat="1" ht="21.75" customHeight="1" thickBot="1" x14ac:dyDescent="0.25">
      <c r="A86" s="3046" t="s">
        <v>365</v>
      </c>
      <c r="B86" s="3046"/>
      <c r="C86" s="14"/>
      <c r="D86" s="15"/>
      <c r="E86" s="15"/>
      <c r="F86" s="15"/>
      <c r="G86" s="15"/>
      <c r="H86" s="15"/>
      <c r="I86" s="15"/>
      <c r="J86" s="15"/>
      <c r="K86" s="15"/>
      <c r="L86" s="205"/>
      <c r="N86" s="206"/>
    </row>
    <row r="87" spans="1:18" s="11" customFormat="1" ht="21.75" customHeight="1" thickBot="1" x14ac:dyDescent="0.25">
      <c r="A87" s="3049" t="s">
        <v>282</v>
      </c>
      <c r="B87" s="3093"/>
      <c r="C87" s="459">
        <f>C88+C89</f>
        <v>2139496441.4325001</v>
      </c>
      <c r="D87" s="184" t="e">
        <f t="shared" ref="D87:J87" si="46">D88+D89</f>
        <v>#REF!</v>
      </c>
      <c r="E87" s="184" t="e">
        <f t="shared" si="46"/>
        <v>#REF!</v>
      </c>
      <c r="F87" s="184">
        <f t="shared" si="46"/>
        <v>483739104</v>
      </c>
      <c r="G87" s="530">
        <f t="shared" si="46"/>
        <v>420898664</v>
      </c>
      <c r="H87" s="203">
        <f>H88+H89</f>
        <v>1280355588.1724999</v>
      </c>
      <c r="I87" s="186">
        <f>H87/C87*100</f>
        <v>59.843782087117546</v>
      </c>
      <c r="J87" s="184">
        <f t="shared" si="46"/>
        <v>53298877.740000002</v>
      </c>
      <c r="K87" s="187">
        <f>J87/F87*100</f>
        <v>11.018104035682837</v>
      </c>
      <c r="L87" s="454">
        <f>L88+L89</f>
        <v>-430440226.25999999</v>
      </c>
      <c r="M87" s="10"/>
      <c r="N87" s="206"/>
    </row>
    <row r="88" spans="1:18" s="11" customFormat="1" ht="18.75" customHeight="1" thickBot="1" x14ac:dyDescent="0.25">
      <c r="A88" s="3055" t="s">
        <v>163</v>
      </c>
      <c r="B88" s="3085"/>
      <c r="C88" s="192">
        <f>C12+C54</f>
        <v>794601705.70000005</v>
      </c>
      <c r="D88" s="189" t="e">
        <f t="shared" ref="D88:J88" si="47">D12+D54</f>
        <v>#REF!</v>
      </c>
      <c r="E88" s="189" t="e">
        <f t="shared" si="47"/>
        <v>#REF!</v>
      </c>
      <c r="F88" s="189">
        <f t="shared" si="47"/>
        <v>189830000</v>
      </c>
      <c r="G88" s="191">
        <f t="shared" si="47"/>
        <v>257902830</v>
      </c>
      <c r="H88" s="189">
        <f>H12+H54</f>
        <v>377785252.79999995</v>
      </c>
      <c r="I88" s="193">
        <f t="shared" ref="I88:I89" si="48">H88/C88*100</f>
        <v>47.543977075557883</v>
      </c>
      <c r="J88" s="189">
        <f t="shared" si="47"/>
        <v>36103784.100000001</v>
      </c>
      <c r="K88" s="194">
        <f>J88/F88*100</f>
        <v>19.019008639308858</v>
      </c>
      <c r="L88" s="189">
        <f>J88-F88</f>
        <v>-153726215.90000001</v>
      </c>
      <c r="M88" s="10"/>
      <c r="N88" s="206"/>
    </row>
    <row r="89" spans="1:18" s="11" customFormat="1" ht="18.75" customHeight="1" thickBot="1" x14ac:dyDescent="0.25">
      <c r="A89" s="3057" t="s">
        <v>164</v>
      </c>
      <c r="B89" s="3086"/>
      <c r="C89" s="192">
        <f>C13+C55</f>
        <v>1344894735.7325001</v>
      </c>
      <c r="D89" s="189" t="e">
        <f t="shared" ref="D89:J89" si="49">D13+D55</f>
        <v>#REF!</v>
      </c>
      <c r="E89" s="189" t="e">
        <f t="shared" si="49"/>
        <v>#REF!</v>
      </c>
      <c r="F89" s="189">
        <f t="shared" si="49"/>
        <v>293909104</v>
      </c>
      <c r="G89" s="191">
        <f t="shared" si="49"/>
        <v>162995834</v>
      </c>
      <c r="H89" s="189">
        <f t="shared" si="49"/>
        <v>902570335.37249994</v>
      </c>
      <c r="I89" s="200">
        <f t="shared" si="48"/>
        <v>67.110853466231532</v>
      </c>
      <c r="J89" s="189">
        <f t="shared" si="49"/>
        <v>17195093.640000001</v>
      </c>
      <c r="K89" s="201">
        <f>J89/F89*100</f>
        <v>5.8504800994527884</v>
      </c>
      <c r="L89" s="189">
        <f>J89-F89</f>
        <v>-276714010.36000001</v>
      </c>
      <c r="M89" s="10"/>
      <c r="N89" s="206"/>
    </row>
    <row r="90" spans="1:18" s="11" customFormat="1" ht="23.25" customHeight="1" thickBot="1" x14ac:dyDescent="0.25">
      <c r="A90" s="3051" t="s">
        <v>22</v>
      </c>
      <c r="B90" s="3087"/>
      <c r="C90" s="459">
        <f>C44+C79</f>
        <v>1321989849.4000001</v>
      </c>
      <c r="D90" s="203">
        <f t="shared" ref="D90:J90" si="50">D44+D79</f>
        <v>611571922.39999998</v>
      </c>
      <c r="E90" s="203">
        <f t="shared" si="50"/>
        <v>244638732</v>
      </c>
      <c r="F90" s="203">
        <f t="shared" si="50"/>
        <v>309744735</v>
      </c>
      <c r="G90" s="531">
        <f t="shared" si="50"/>
        <v>156034460</v>
      </c>
      <c r="H90" s="203">
        <f t="shared" si="50"/>
        <v>895342037.39999998</v>
      </c>
      <c r="I90" s="186">
        <f>H90/C90*100</f>
        <v>67.726846602215659</v>
      </c>
      <c r="J90" s="203">
        <f t="shared" si="50"/>
        <v>39306638</v>
      </c>
      <c r="K90" s="187">
        <f>J90/F90*100</f>
        <v>12.690010049726915</v>
      </c>
      <c r="L90" s="454">
        <f>J90-F90</f>
        <v>-270438097</v>
      </c>
      <c r="M90" s="10"/>
      <c r="N90" s="206"/>
    </row>
    <row r="91" spans="1:18" s="11" customFormat="1" ht="15.75" customHeight="1" x14ac:dyDescent="0.2">
      <c r="A91" s="113"/>
      <c r="B91" s="14"/>
      <c r="C91" s="14"/>
      <c r="D91" s="15"/>
      <c r="E91" s="15"/>
      <c r="F91" s="15"/>
      <c r="G91" s="15"/>
      <c r="H91" s="15"/>
      <c r="I91" s="15"/>
      <c r="J91" s="15"/>
      <c r="K91" s="15"/>
      <c r="L91" s="205"/>
      <c r="M91" s="10"/>
      <c r="N91" s="206"/>
    </row>
    <row r="92" spans="1:18" s="11" customFormat="1" ht="15.75" customHeight="1" x14ac:dyDescent="0.2">
      <c r="A92" s="113"/>
      <c r="B92" s="14"/>
      <c r="C92" s="14"/>
      <c r="D92" s="15"/>
      <c r="E92" s="15"/>
      <c r="F92" s="15"/>
      <c r="G92" s="15"/>
      <c r="H92" s="15"/>
      <c r="I92" s="15"/>
      <c r="J92" s="15"/>
      <c r="K92" s="15"/>
      <c r="L92" s="205"/>
      <c r="M92" s="10"/>
      <c r="N92" s="206"/>
    </row>
    <row r="93" spans="1:18" s="11" customFormat="1" ht="15.75" customHeight="1" x14ac:dyDescent="0.2">
      <c r="A93" s="113"/>
      <c r="B93" s="14"/>
      <c r="C93" s="14"/>
      <c r="D93" s="15"/>
      <c r="E93" s="15"/>
      <c r="F93" s="15"/>
      <c r="G93" s="15"/>
      <c r="H93" s="15"/>
      <c r="I93" s="15"/>
      <c r="J93" s="15"/>
      <c r="K93" s="15"/>
      <c r="L93" s="205"/>
      <c r="M93" s="10"/>
      <c r="N93" s="206"/>
    </row>
    <row r="94" spans="1:18" s="11" customFormat="1" ht="15.75" customHeight="1" x14ac:dyDescent="0.2">
      <c r="A94" s="113"/>
      <c r="B94" s="14"/>
      <c r="C94" s="14"/>
      <c r="D94" s="15"/>
      <c r="E94" s="15"/>
      <c r="F94" s="15"/>
      <c r="G94" s="15"/>
      <c r="H94" s="15"/>
      <c r="I94" s="15"/>
      <c r="J94" s="15"/>
      <c r="K94" s="15"/>
      <c r="L94" s="205"/>
      <c r="M94" s="10"/>
      <c r="N94" s="206"/>
    </row>
    <row r="95" spans="1:18" s="11" customFormat="1" ht="15.75" customHeight="1" x14ac:dyDescent="0.2">
      <c r="A95" s="113"/>
      <c r="B95" s="14"/>
      <c r="C95" s="14"/>
      <c r="D95" s="15"/>
      <c r="E95" s="15"/>
      <c r="F95" s="15"/>
      <c r="G95" s="15"/>
      <c r="H95" s="15"/>
      <c r="I95" s="15"/>
      <c r="J95" s="15"/>
      <c r="K95" s="15"/>
      <c r="L95" s="205"/>
      <c r="M95" s="10"/>
      <c r="N95" s="206"/>
    </row>
    <row r="96" spans="1:18" s="11" customFormat="1" ht="15.75" customHeight="1" x14ac:dyDescent="0.2">
      <c r="A96" s="113"/>
      <c r="B96" s="14"/>
      <c r="C96" s="14"/>
      <c r="D96" s="15"/>
      <c r="E96" s="15"/>
      <c r="F96" s="15"/>
      <c r="G96" s="15"/>
      <c r="H96" s="15"/>
      <c r="I96" s="15"/>
      <c r="J96" s="15"/>
      <c r="K96" s="15"/>
      <c r="L96" s="205"/>
      <c r="M96" s="10"/>
      <c r="N96" s="206"/>
    </row>
    <row r="97" spans="1:14" s="11" customFormat="1" ht="15.75" customHeight="1" x14ac:dyDescent="0.2">
      <c r="A97" s="113"/>
      <c r="B97" s="14"/>
      <c r="C97" s="14"/>
      <c r="D97" s="15"/>
      <c r="E97" s="15"/>
      <c r="F97" s="15"/>
      <c r="G97" s="15"/>
      <c r="H97" s="15"/>
      <c r="I97" s="15"/>
      <c r="J97" s="15"/>
      <c r="K97" s="15"/>
      <c r="L97" s="205"/>
      <c r="M97" s="10"/>
      <c r="N97" s="206"/>
    </row>
    <row r="98" spans="1:14" s="11" customFormat="1" ht="15.75" customHeight="1" x14ac:dyDescent="0.2">
      <c r="A98" s="113"/>
      <c r="B98" s="14"/>
      <c r="C98" s="14"/>
      <c r="D98" s="15"/>
      <c r="E98" s="15"/>
      <c r="F98" s="15"/>
      <c r="G98" s="15"/>
      <c r="H98" s="15"/>
      <c r="I98" s="15"/>
      <c r="J98" s="15"/>
      <c r="K98" s="15"/>
      <c r="L98" s="205"/>
      <c r="M98" s="10"/>
      <c r="N98" s="206"/>
    </row>
    <row r="99" spans="1:14" s="11" customFormat="1" ht="15.75" customHeight="1" x14ac:dyDescent="0.2">
      <c r="A99" s="113"/>
      <c r="B99" s="14"/>
      <c r="C99" s="14"/>
      <c r="D99" s="15"/>
      <c r="E99" s="15"/>
      <c r="F99" s="15"/>
      <c r="G99" s="15"/>
      <c r="H99" s="15"/>
      <c r="I99" s="15"/>
      <c r="J99" s="15"/>
      <c r="K99" s="15"/>
      <c r="L99" s="205"/>
      <c r="M99" s="10"/>
      <c r="N99" s="206"/>
    </row>
    <row r="100" spans="1:14" s="11" customFormat="1" ht="15.75" customHeight="1" x14ac:dyDescent="0.2">
      <c r="A100" s="113"/>
      <c r="B100" s="14"/>
      <c r="C100" s="14"/>
      <c r="D100" s="15"/>
      <c r="E100" s="15"/>
      <c r="F100" s="15"/>
      <c r="G100" s="15"/>
      <c r="H100" s="15"/>
      <c r="I100" s="15"/>
      <c r="J100" s="15"/>
      <c r="K100" s="15"/>
      <c r="L100" s="205"/>
      <c r="M100" s="10"/>
      <c r="N100" s="206"/>
    </row>
    <row r="101" spans="1:14" s="11" customFormat="1" ht="15.75" customHeight="1" x14ac:dyDescent="0.2">
      <c r="A101" s="113"/>
      <c r="B101" s="14"/>
      <c r="C101" s="14"/>
      <c r="D101" s="15"/>
      <c r="E101" s="15"/>
      <c r="F101" s="15"/>
      <c r="G101" s="15"/>
      <c r="H101" s="15"/>
      <c r="I101" s="15"/>
      <c r="J101" s="15"/>
      <c r="K101" s="15"/>
      <c r="L101" s="205"/>
      <c r="M101" s="10"/>
      <c r="N101" s="206"/>
    </row>
    <row r="102" spans="1:14" x14ac:dyDescent="0.2">
      <c r="A102" s="20"/>
      <c r="B102" s="3"/>
      <c r="C102" s="3"/>
      <c r="D102" s="3"/>
      <c r="E102" s="3"/>
      <c r="M102" s="3"/>
      <c r="N102" s="32"/>
    </row>
    <row r="103" spans="1:14" x14ac:dyDescent="0.2">
      <c r="A103" s="20"/>
      <c r="B103" s="3"/>
      <c r="C103" s="3"/>
      <c r="D103" s="3"/>
      <c r="E103" s="3"/>
      <c r="M103" s="3"/>
      <c r="N103" s="32"/>
    </row>
    <row r="104" spans="1:14" x14ac:dyDescent="0.2">
      <c r="A104" s="20"/>
      <c r="B104" s="3"/>
      <c r="C104" s="3"/>
      <c r="D104" s="3"/>
      <c r="E104" s="3"/>
      <c r="M104" s="3"/>
      <c r="N104" s="32"/>
    </row>
    <row r="105" spans="1:14" x14ac:dyDescent="0.2">
      <c r="A105" s="20"/>
      <c r="B105" s="3"/>
      <c r="C105" s="3"/>
      <c r="D105" s="3"/>
      <c r="E105" s="3"/>
      <c r="M105" s="3"/>
      <c r="N105" s="32"/>
    </row>
    <row r="106" spans="1:14" x14ac:dyDescent="0.2">
      <c r="B106" s="3"/>
      <c r="C106" s="3"/>
      <c r="D106" s="3"/>
      <c r="E106" s="3"/>
    </row>
    <row r="107" spans="1:14" x14ac:dyDescent="0.2">
      <c r="B107" s="3"/>
      <c r="C107" s="3"/>
      <c r="D107" s="3"/>
      <c r="E107" s="3"/>
    </row>
    <row r="108" spans="1:14" x14ac:dyDescent="0.2">
      <c r="B108" s="3"/>
      <c r="C108" s="3"/>
      <c r="D108" s="3"/>
      <c r="E108" s="3"/>
    </row>
    <row r="109" spans="1:14" x14ac:dyDescent="0.2">
      <c r="B109" s="3"/>
      <c r="C109" s="3"/>
      <c r="D109" s="3"/>
      <c r="E109" s="3"/>
    </row>
    <row r="110" spans="1:14" x14ac:dyDescent="0.2">
      <c r="B110" s="3"/>
      <c r="C110" s="3"/>
      <c r="D110" s="3"/>
      <c r="E110" s="3"/>
    </row>
    <row r="111" spans="1:14" x14ac:dyDescent="0.2">
      <c r="B111" s="3"/>
      <c r="C111" s="3"/>
      <c r="D111" s="3"/>
      <c r="E111" s="3"/>
    </row>
    <row r="112" spans="1:14" x14ac:dyDescent="0.2">
      <c r="B112" s="3"/>
      <c r="C112" s="3"/>
      <c r="D112" s="3"/>
      <c r="E112" s="3"/>
    </row>
    <row r="113" spans="2:5" x14ac:dyDescent="0.2">
      <c r="B113" s="3"/>
      <c r="C113" s="3"/>
      <c r="D113" s="3"/>
      <c r="E113" s="3"/>
    </row>
    <row r="114" spans="2:5" x14ac:dyDescent="0.2">
      <c r="B114" s="3"/>
      <c r="C114" s="3"/>
      <c r="D114" s="3"/>
      <c r="E114" s="3"/>
    </row>
    <row r="115" spans="2:5" x14ac:dyDescent="0.2">
      <c r="B115" s="3"/>
      <c r="C115" s="3"/>
      <c r="D115" s="3"/>
      <c r="E115" s="3"/>
    </row>
    <row r="116" spans="2:5" x14ac:dyDescent="0.2">
      <c r="B116" s="3"/>
      <c r="C116" s="3"/>
      <c r="D116" s="3"/>
      <c r="E116" s="3"/>
    </row>
    <row r="117" spans="2:5" x14ac:dyDescent="0.2">
      <c r="B117" s="3"/>
      <c r="C117" s="3"/>
      <c r="D117" s="3"/>
      <c r="E117" s="3"/>
    </row>
    <row r="118" spans="2:5" x14ac:dyDescent="0.2">
      <c r="B118" s="3"/>
      <c r="C118" s="3"/>
      <c r="D118" s="3"/>
      <c r="E118" s="3"/>
    </row>
    <row r="119" spans="2:5" x14ac:dyDescent="0.2">
      <c r="B119" s="3"/>
      <c r="C119" s="3"/>
      <c r="D119" s="3"/>
      <c r="E119" s="3"/>
    </row>
    <row r="120" spans="2:5" x14ac:dyDescent="0.2">
      <c r="B120" s="3"/>
      <c r="C120" s="3"/>
      <c r="D120" s="3"/>
      <c r="E120" s="3"/>
    </row>
    <row r="121" spans="2:5" x14ac:dyDescent="0.2">
      <c r="B121" s="3"/>
      <c r="C121" s="3"/>
      <c r="D121" s="3"/>
      <c r="E121" s="3"/>
    </row>
    <row r="122" spans="2:5" x14ac:dyDescent="0.2">
      <c r="B122" s="3"/>
      <c r="C122" s="3"/>
      <c r="D122" s="3"/>
      <c r="E122" s="3"/>
    </row>
    <row r="123" spans="2:5" x14ac:dyDescent="0.2">
      <c r="B123" s="3"/>
      <c r="C123" s="3"/>
      <c r="D123" s="3"/>
      <c r="E123" s="3"/>
    </row>
    <row r="124" spans="2:5" x14ac:dyDescent="0.2">
      <c r="B124" s="3"/>
      <c r="C124" s="3"/>
      <c r="D124" s="3"/>
      <c r="E124" s="3"/>
    </row>
    <row r="125" spans="2:5" x14ac:dyDescent="0.2">
      <c r="B125" s="3"/>
      <c r="C125" s="3"/>
      <c r="D125" s="3"/>
      <c r="E125" s="3"/>
    </row>
    <row r="126" spans="2:5" x14ac:dyDescent="0.2">
      <c r="B126" s="3"/>
      <c r="C126" s="3"/>
      <c r="D126" s="3"/>
      <c r="E126" s="3"/>
    </row>
    <row r="127" spans="2:5" x14ac:dyDescent="0.2">
      <c r="B127" s="3"/>
      <c r="C127" s="3"/>
      <c r="D127" s="3"/>
      <c r="E127" s="3"/>
    </row>
    <row r="128" spans="2:5" x14ac:dyDescent="0.2">
      <c r="B128" s="3"/>
      <c r="C128" s="3"/>
      <c r="D128" s="3"/>
      <c r="E128" s="3"/>
    </row>
    <row r="129" spans="2:5" x14ac:dyDescent="0.2">
      <c r="B129" s="3"/>
      <c r="C129" s="3"/>
      <c r="D129" s="3"/>
      <c r="E129" s="3"/>
    </row>
    <row r="130" spans="2:5" x14ac:dyDescent="0.2">
      <c r="B130" s="3"/>
      <c r="C130" s="3"/>
      <c r="D130" s="3"/>
      <c r="E130" s="3"/>
    </row>
    <row r="131" spans="2:5" x14ac:dyDescent="0.2">
      <c r="B131" s="3"/>
      <c r="C131" s="3"/>
      <c r="D131" s="3"/>
      <c r="E131" s="3"/>
    </row>
    <row r="132" spans="2:5" x14ac:dyDescent="0.2">
      <c r="B132" s="3"/>
      <c r="C132" s="3"/>
      <c r="D132" s="3"/>
      <c r="E132" s="3"/>
    </row>
    <row r="133" spans="2:5" x14ac:dyDescent="0.2">
      <c r="B133" s="3"/>
      <c r="C133" s="3"/>
      <c r="D133" s="3"/>
      <c r="E133" s="3"/>
    </row>
    <row r="134" spans="2:5" x14ac:dyDescent="0.2">
      <c r="B134" s="3"/>
      <c r="C134" s="3"/>
      <c r="D134" s="3"/>
      <c r="E134" s="3"/>
    </row>
    <row r="135" spans="2:5" x14ac:dyDescent="0.2">
      <c r="B135" s="3"/>
      <c r="C135" s="3"/>
      <c r="D135" s="3"/>
      <c r="E135" s="3"/>
    </row>
    <row r="136" spans="2:5" x14ac:dyDescent="0.2">
      <c r="B136" s="3"/>
      <c r="C136" s="3"/>
      <c r="D136" s="3"/>
      <c r="E136" s="3"/>
    </row>
    <row r="137" spans="2:5" x14ac:dyDescent="0.2">
      <c r="B137" s="3"/>
      <c r="C137" s="3"/>
      <c r="D137" s="3"/>
      <c r="E137" s="3"/>
    </row>
    <row r="138" spans="2:5" x14ac:dyDescent="0.2">
      <c r="B138" s="3"/>
      <c r="C138" s="3"/>
      <c r="D138" s="3"/>
      <c r="E138" s="3"/>
    </row>
    <row r="139" spans="2:5" x14ac:dyDescent="0.2">
      <c r="B139" s="3"/>
      <c r="C139" s="3"/>
      <c r="D139" s="3"/>
      <c r="E139" s="3"/>
    </row>
    <row r="140" spans="2:5" x14ac:dyDescent="0.2">
      <c r="B140" s="3"/>
      <c r="C140" s="3"/>
      <c r="D140" s="3"/>
      <c r="E140" s="3"/>
    </row>
    <row r="141" spans="2:5" x14ac:dyDescent="0.2">
      <c r="B141" s="3"/>
      <c r="C141" s="3"/>
      <c r="D141" s="3"/>
      <c r="E141" s="3"/>
    </row>
    <row r="142" spans="2:5" x14ac:dyDescent="0.2">
      <c r="B142" s="3"/>
      <c r="C142" s="3"/>
      <c r="D142" s="3"/>
      <c r="E142" s="3"/>
    </row>
    <row r="143" spans="2:5" x14ac:dyDescent="0.2">
      <c r="B143" s="3"/>
      <c r="C143" s="3"/>
      <c r="D143" s="3"/>
      <c r="E143" s="3"/>
    </row>
    <row r="144" spans="2:5" x14ac:dyDescent="0.2">
      <c r="B144" s="3"/>
      <c r="C144" s="3"/>
      <c r="D144" s="3"/>
      <c r="E144" s="3"/>
    </row>
    <row r="145" spans="2:5" x14ac:dyDescent="0.2">
      <c r="B145" s="3"/>
      <c r="C145" s="3"/>
      <c r="D145" s="3"/>
      <c r="E145" s="3"/>
    </row>
    <row r="146" spans="2:5" x14ac:dyDescent="0.2">
      <c r="B146" s="3"/>
      <c r="C146" s="3"/>
      <c r="D146" s="3"/>
      <c r="E146" s="3"/>
    </row>
    <row r="147" spans="2:5" x14ac:dyDescent="0.2">
      <c r="B147" s="3"/>
      <c r="C147" s="3"/>
      <c r="D147" s="3"/>
      <c r="E147" s="3"/>
    </row>
    <row r="148" spans="2:5" x14ac:dyDescent="0.2">
      <c r="B148" s="3"/>
      <c r="C148" s="3"/>
      <c r="D148" s="3"/>
      <c r="E148" s="3"/>
    </row>
    <row r="149" spans="2:5" x14ac:dyDescent="0.2">
      <c r="B149" s="3"/>
      <c r="C149" s="3"/>
      <c r="D149" s="3"/>
      <c r="E149" s="3"/>
    </row>
    <row r="150" spans="2:5" x14ac:dyDescent="0.2">
      <c r="B150" s="3"/>
      <c r="C150" s="3"/>
      <c r="D150" s="3"/>
      <c r="E150" s="3"/>
    </row>
    <row r="151" spans="2:5" x14ac:dyDescent="0.2">
      <c r="B151" s="3"/>
      <c r="C151" s="3"/>
      <c r="D151" s="3"/>
      <c r="E151" s="3"/>
    </row>
    <row r="152" spans="2:5" x14ac:dyDescent="0.2">
      <c r="B152" s="3"/>
      <c r="C152" s="3"/>
      <c r="D152" s="3"/>
      <c r="E152" s="3"/>
    </row>
    <row r="153" spans="2:5" x14ac:dyDescent="0.2">
      <c r="B153" s="3"/>
      <c r="C153" s="3"/>
      <c r="D153" s="3"/>
      <c r="E153" s="3"/>
    </row>
    <row r="154" spans="2:5" x14ac:dyDescent="0.2">
      <c r="B154" s="3"/>
      <c r="C154" s="3"/>
      <c r="D154" s="3"/>
      <c r="E154" s="3"/>
    </row>
    <row r="155" spans="2:5" x14ac:dyDescent="0.2">
      <c r="B155" s="3"/>
      <c r="C155" s="3"/>
      <c r="D155" s="3"/>
      <c r="E155" s="3"/>
    </row>
    <row r="156" spans="2:5" x14ac:dyDescent="0.2">
      <c r="B156" s="3"/>
      <c r="C156" s="3"/>
      <c r="D156" s="3"/>
      <c r="E156" s="3"/>
    </row>
    <row r="157" spans="2:5" x14ac:dyDescent="0.2">
      <c r="B157" s="3"/>
      <c r="C157" s="3"/>
      <c r="D157" s="3"/>
      <c r="E157" s="3"/>
    </row>
    <row r="158" spans="2:5" x14ac:dyDescent="0.2">
      <c r="B158" s="3"/>
      <c r="C158" s="3"/>
      <c r="D158" s="3"/>
      <c r="E158" s="3"/>
    </row>
    <row r="159" spans="2:5" x14ac:dyDescent="0.2">
      <c r="B159" s="3"/>
      <c r="C159" s="3"/>
      <c r="D159" s="3"/>
      <c r="E159" s="3"/>
    </row>
    <row r="160" spans="2:5" x14ac:dyDescent="0.2">
      <c r="B160" s="3"/>
      <c r="C160" s="3"/>
      <c r="D160" s="3"/>
      <c r="E160" s="3"/>
    </row>
    <row r="161" spans="2:5" x14ac:dyDescent="0.2">
      <c r="B161" s="3"/>
      <c r="C161" s="3"/>
      <c r="D161" s="3"/>
      <c r="E161" s="3"/>
    </row>
    <row r="162" spans="2:5" x14ac:dyDescent="0.2">
      <c r="B162" s="3"/>
      <c r="C162" s="3"/>
      <c r="D162" s="3"/>
      <c r="E162" s="3"/>
    </row>
    <row r="163" spans="2:5" x14ac:dyDescent="0.2">
      <c r="B163" s="3"/>
      <c r="C163" s="3"/>
      <c r="D163" s="3"/>
      <c r="E163" s="3"/>
    </row>
    <row r="164" spans="2:5" x14ac:dyDescent="0.2">
      <c r="B164" s="3"/>
      <c r="C164" s="3"/>
      <c r="D164" s="3"/>
      <c r="E164" s="3"/>
    </row>
    <row r="165" spans="2:5" x14ac:dyDescent="0.2">
      <c r="B165" s="3"/>
      <c r="C165" s="3"/>
      <c r="D165" s="3"/>
      <c r="E165" s="3"/>
    </row>
    <row r="166" spans="2:5" x14ac:dyDescent="0.2">
      <c r="B166" s="3"/>
      <c r="C166" s="3"/>
      <c r="D166" s="3"/>
      <c r="E166" s="3"/>
    </row>
    <row r="167" spans="2:5" x14ac:dyDescent="0.2">
      <c r="B167" s="3"/>
      <c r="C167" s="3"/>
      <c r="D167" s="3"/>
      <c r="E167" s="3"/>
    </row>
    <row r="168" spans="2:5" x14ac:dyDescent="0.2">
      <c r="B168" s="3"/>
      <c r="C168" s="3"/>
      <c r="D168" s="3"/>
      <c r="E168" s="3"/>
    </row>
    <row r="169" spans="2:5" x14ac:dyDescent="0.2">
      <c r="B169" s="3"/>
      <c r="C169" s="3"/>
      <c r="D169" s="3"/>
      <c r="E169" s="3"/>
    </row>
    <row r="170" spans="2:5" x14ac:dyDescent="0.2">
      <c r="B170" s="3"/>
      <c r="C170" s="3"/>
      <c r="D170" s="3"/>
      <c r="E170" s="3"/>
    </row>
    <row r="171" spans="2:5" x14ac:dyDescent="0.2">
      <c r="B171" s="3"/>
      <c r="C171" s="3"/>
      <c r="D171" s="3"/>
      <c r="E171" s="3"/>
    </row>
    <row r="172" spans="2:5" x14ac:dyDescent="0.2">
      <c r="B172" s="3"/>
      <c r="C172" s="3"/>
      <c r="D172" s="3"/>
      <c r="E172" s="3"/>
    </row>
    <row r="173" spans="2:5" x14ac:dyDescent="0.2">
      <c r="B173" s="3"/>
      <c r="C173" s="3"/>
      <c r="D173" s="3"/>
      <c r="E173" s="3"/>
    </row>
    <row r="174" spans="2:5" x14ac:dyDescent="0.2">
      <c r="B174" s="3"/>
      <c r="C174" s="3"/>
      <c r="D174" s="3"/>
      <c r="E174" s="3"/>
    </row>
    <row r="175" spans="2:5" x14ac:dyDescent="0.2">
      <c r="B175" s="3"/>
      <c r="C175" s="3"/>
      <c r="D175" s="3"/>
      <c r="E175" s="3"/>
    </row>
    <row r="176" spans="2:5" x14ac:dyDescent="0.2">
      <c r="B176" s="3"/>
      <c r="C176" s="3"/>
      <c r="D176" s="3"/>
      <c r="E176" s="3"/>
    </row>
    <row r="177" spans="2:5" x14ac:dyDescent="0.2">
      <c r="B177" s="3"/>
      <c r="C177" s="3"/>
      <c r="D177" s="3"/>
      <c r="E177" s="3"/>
    </row>
    <row r="178" spans="2:5" x14ac:dyDescent="0.2">
      <c r="B178" s="3"/>
      <c r="C178" s="3"/>
      <c r="D178" s="3"/>
      <c r="E178" s="3"/>
    </row>
    <row r="179" spans="2:5" x14ac:dyDescent="0.2">
      <c r="B179" s="3"/>
      <c r="C179" s="3"/>
      <c r="D179" s="3"/>
      <c r="E179" s="3"/>
    </row>
    <row r="180" spans="2:5" x14ac:dyDescent="0.2">
      <c r="B180" s="3"/>
      <c r="C180" s="3"/>
      <c r="D180" s="3"/>
      <c r="E180" s="3"/>
    </row>
    <row r="181" spans="2:5" x14ac:dyDescent="0.2">
      <c r="B181" s="3"/>
      <c r="C181" s="3"/>
      <c r="D181" s="3"/>
      <c r="E181" s="3"/>
    </row>
    <row r="182" spans="2:5" x14ac:dyDescent="0.2">
      <c r="B182" s="3"/>
      <c r="C182" s="3"/>
      <c r="D182" s="3"/>
      <c r="E182" s="3"/>
    </row>
    <row r="183" spans="2:5" x14ac:dyDescent="0.2">
      <c r="B183" s="3"/>
      <c r="C183" s="3"/>
      <c r="D183" s="3"/>
      <c r="E183" s="3"/>
    </row>
    <row r="184" spans="2:5" x14ac:dyDescent="0.2">
      <c r="B184" s="3"/>
      <c r="C184" s="3"/>
      <c r="D184" s="3"/>
      <c r="E184" s="3"/>
    </row>
    <row r="185" spans="2:5" x14ac:dyDescent="0.2">
      <c r="B185" s="3"/>
      <c r="C185" s="3"/>
      <c r="D185" s="3"/>
      <c r="E185" s="3"/>
    </row>
    <row r="186" spans="2:5" x14ac:dyDescent="0.2">
      <c r="B186" s="3"/>
      <c r="C186" s="3"/>
      <c r="D186" s="3"/>
      <c r="E186" s="3"/>
    </row>
    <row r="187" spans="2:5" x14ac:dyDescent="0.2">
      <c r="B187" s="3"/>
      <c r="C187" s="3"/>
      <c r="D187" s="3"/>
      <c r="E187" s="3"/>
    </row>
    <row r="188" spans="2:5" x14ac:dyDescent="0.2">
      <c r="B188" s="3"/>
      <c r="C188" s="3"/>
      <c r="D188" s="3"/>
      <c r="E188" s="3"/>
    </row>
    <row r="189" spans="2:5" x14ac:dyDescent="0.2">
      <c r="B189" s="3"/>
      <c r="C189" s="3"/>
      <c r="D189" s="3"/>
      <c r="E189" s="3"/>
    </row>
    <row r="190" spans="2:5" x14ac:dyDescent="0.2">
      <c r="B190" s="3"/>
      <c r="C190" s="3"/>
      <c r="D190" s="3"/>
      <c r="E190" s="3"/>
    </row>
    <row r="191" spans="2:5" x14ac:dyDescent="0.2">
      <c r="B191" s="3"/>
      <c r="C191" s="3"/>
      <c r="D191" s="3"/>
      <c r="E191" s="3"/>
    </row>
    <row r="192" spans="2:5" x14ac:dyDescent="0.2">
      <c r="B192" s="3"/>
      <c r="C192" s="3"/>
      <c r="D192" s="3"/>
      <c r="E192" s="3"/>
    </row>
    <row r="193" spans="2:5" x14ac:dyDescent="0.2">
      <c r="B193" s="3"/>
      <c r="C193" s="3"/>
      <c r="D193" s="3"/>
      <c r="E193" s="3"/>
    </row>
    <row r="194" spans="2:5" x14ac:dyDescent="0.2">
      <c r="B194" s="3"/>
      <c r="C194" s="3"/>
      <c r="D194" s="3"/>
      <c r="E194" s="3"/>
    </row>
    <row r="195" spans="2:5" x14ac:dyDescent="0.2">
      <c r="B195" s="3"/>
      <c r="C195" s="3"/>
      <c r="D195" s="3"/>
      <c r="E195" s="3"/>
    </row>
    <row r="196" spans="2:5" x14ac:dyDescent="0.2">
      <c r="B196" s="3"/>
      <c r="C196" s="3"/>
      <c r="D196" s="3"/>
      <c r="E196" s="3"/>
    </row>
    <row r="197" spans="2:5" x14ac:dyDescent="0.2">
      <c r="B197" s="3"/>
      <c r="C197" s="3"/>
      <c r="D197" s="3"/>
      <c r="E197" s="3"/>
    </row>
    <row r="198" spans="2:5" x14ac:dyDescent="0.2">
      <c r="B198" s="3"/>
      <c r="C198" s="3"/>
      <c r="D198" s="3"/>
      <c r="E198" s="3"/>
    </row>
    <row r="199" spans="2:5" x14ac:dyDescent="0.2">
      <c r="B199" s="3"/>
      <c r="C199" s="3"/>
      <c r="D199" s="3"/>
      <c r="E199" s="3"/>
    </row>
    <row r="200" spans="2:5" x14ac:dyDescent="0.2">
      <c r="B200" s="3"/>
      <c r="C200" s="3"/>
      <c r="D200" s="3"/>
      <c r="E200" s="3"/>
    </row>
    <row r="201" spans="2:5" x14ac:dyDescent="0.2">
      <c r="B201" s="3"/>
      <c r="C201" s="3"/>
      <c r="D201" s="3"/>
      <c r="E201" s="3"/>
    </row>
    <row r="202" spans="2:5" x14ac:dyDescent="0.2">
      <c r="B202" s="3"/>
      <c r="C202" s="3"/>
      <c r="D202" s="3"/>
      <c r="E202" s="3"/>
    </row>
    <row r="203" spans="2:5" x14ac:dyDescent="0.2">
      <c r="B203" s="3"/>
      <c r="C203" s="3"/>
      <c r="D203" s="3"/>
      <c r="E203" s="3"/>
    </row>
    <row r="204" spans="2:5" x14ac:dyDescent="0.2">
      <c r="B204" s="3"/>
      <c r="C204" s="3"/>
      <c r="D204" s="3"/>
      <c r="E204" s="3"/>
    </row>
    <row r="205" spans="2:5" x14ac:dyDescent="0.2">
      <c r="B205" s="3"/>
      <c r="C205" s="3"/>
      <c r="D205" s="3"/>
      <c r="E205" s="3"/>
    </row>
    <row r="206" spans="2:5" x14ac:dyDescent="0.2">
      <c r="B206" s="3"/>
      <c r="C206" s="3"/>
      <c r="D206" s="3"/>
      <c r="E206" s="3"/>
    </row>
    <row r="207" spans="2:5" x14ac:dyDescent="0.2">
      <c r="B207" s="3"/>
      <c r="C207" s="3"/>
      <c r="D207" s="3"/>
      <c r="E207" s="3"/>
    </row>
    <row r="208" spans="2:5" x14ac:dyDescent="0.2">
      <c r="B208" s="3"/>
      <c r="C208" s="3"/>
      <c r="D208" s="3"/>
      <c r="E208" s="3"/>
    </row>
    <row r="209" spans="2:5" x14ac:dyDescent="0.2">
      <c r="B209" s="3"/>
      <c r="C209" s="3"/>
      <c r="D209" s="3"/>
      <c r="E209" s="3"/>
    </row>
    <row r="210" spans="2:5" x14ac:dyDescent="0.2">
      <c r="B210" s="3"/>
      <c r="C210" s="3"/>
      <c r="D210" s="3"/>
      <c r="E210" s="3"/>
    </row>
    <row r="211" spans="2:5" x14ac:dyDescent="0.2">
      <c r="B211" s="3"/>
      <c r="C211" s="3"/>
      <c r="D211" s="3"/>
      <c r="E211" s="3"/>
    </row>
    <row r="212" spans="2:5" x14ac:dyDescent="0.2">
      <c r="B212" s="3"/>
      <c r="C212" s="3"/>
      <c r="D212" s="3"/>
      <c r="E212" s="3"/>
    </row>
    <row r="213" spans="2:5" x14ac:dyDescent="0.2">
      <c r="B213" s="3"/>
      <c r="C213" s="3"/>
      <c r="D213" s="3"/>
      <c r="E213" s="3"/>
    </row>
    <row r="214" spans="2:5" x14ac:dyDescent="0.2">
      <c r="B214" s="3"/>
      <c r="C214" s="3"/>
      <c r="D214" s="3"/>
      <c r="E214" s="3"/>
    </row>
    <row r="215" spans="2:5" x14ac:dyDescent="0.2">
      <c r="B215" s="3"/>
      <c r="C215" s="3"/>
      <c r="D215" s="3"/>
      <c r="E215" s="3"/>
    </row>
    <row r="216" spans="2:5" x14ac:dyDescent="0.2">
      <c r="B216" s="3"/>
      <c r="C216" s="3"/>
      <c r="D216" s="3"/>
      <c r="E216" s="3"/>
    </row>
    <row r="217" spans="2:5" x14ac:dyDescent="0.2">
      <c r="B217" s="3"/>
      <c r="C217" s="3"/>
      <c r="D217" s="3"/>
      <c r="E217" s="3"/>
    </row>
    <row r="218" spans="2:5" x14ac:dyDescent="0.2">
      <c r="B218" s="3"/>
      <c r="C218" s="3"/>
      <c r="D218" s="3"/>
      <c r="E218" s="3"/>
    </row>
    <row r="219" spans="2:5" x14ac:dyDescent="0.2">
      <c r="B219" s="3"/>
      <c r="C219" s="3"/>
      <c r="D219" s="3"/>
      <c r="E219" s="3"/>
    </row>
    <row r="220" spans="2:5" x14ac:dyDescent="0.2">
      <c r="B220" s="3"/>
      <c r="C220" s="3"/>
      <c r="D220" s="3"/>
      <c r="E220" s="3"/>
    </row>
    <row r="221" spans="2:5" x14ac:dyDescent="0.2">
      <c r="B221" s="3"/>
      <c r="C221" s="3"/>
      <c r="D221" s="3"/>
      <c r="E221" s="3"/>
    </row>
    <row r="222" spans="2:5" x14ac:dyDescent="0.2">
      <c r="B222" s="3"/>
      <c r="C222" s="3"/>
      <c r="D222" s="3"/>
      <c r="E222" s="3"/>
    </row>
    <row r="223" spans="2:5" x14ac:dyDescent="0.2">
      <c r="B223" s="3"/>
      <c r="C223" s="3"/>
      <c r="D223" s="3"/>
      <c r="E223" s="3"/>
    </row>
    <row r="224" spans="2:5" x14ac:dyDescent="0.2">
      <c r="B224" s="3"/>
      <c r="C224" s="3"/>
      <c r="D224" s="3"/>
      <c r="E224" s="3"/>
    </row>
    <row r="225" spans="2:5" x14ac:dyDescent="0.2">
      <c r="B225" s="3"/>
      <c r="C225" s="3"/>
      <c r="D225" s="3"/>
      <c r="E225" s="3"/>
    </row>
    <row r="226" spans="2:5" x14ac:dyDescent="0.2">
      <c r="B226" s="3"/>
      <c r="C226" s="3"/>
      <c r="D226" s="3"/>
      <c r="E226" s="3"/>
    </row>
    <row r="227" spans="2:5" x14ac:dyDescent="0.2">
      <c r="B227" s="3"/>
      <c r="C227" s="3"/>
      <c r="D227" s="3"/>
      <c r="E227" s="3"/>
    </row>
    <row r="228" spans="2:5" x14ac:dyDescent="0.2">
      <c r="B228" s="3"/>
      <c r="C228" s="3"/>
      <c r="D228" s="3"/>
      <c r="E228" s="3"/>
    </row>
    <row r="229" spans="2:5" x14ac:dyDescent="0.2">
      <c r="B229" s="3"/>
      <c r="C229" s="3"/>
      <c r="D229" s="3"/>
      <c r="E229" s="3"/>
    </row>
    <row r="230" spans="2:5" x14ac:dyDescent="0.2">
      <c r="B230" s="3"/>
      <c r="C230" s="3"/>
      <c r="D230" s="3"/>
      <c r="E230" s="3"/>
    </row>
    <row r="231" spans="2:5" x14ac:dyDescent="0.2">
      <c r="B231" s="3"/>
      <c r="C231" s="3"/>
      <c r="D231" s="3"/>
      <c r="E231" s="3"/>
    </row>
    <row r="232" spans="2:5" x14ac:dyDescent="0.2">
      <c r="B232" s="3"/>
      <c r="C232" s="3"/>
      <c r="D232" s="3"/>
      <c r="E232" s="3"/>
    </row>
    <row r="233" spans="2:5" x14ac:dyDescent="0.2">
      <c r="B233" s="3"/>
      <c r="C233" s="3"/>
      <c r="D233" s="3"/>
      <c r="E233" s="3"/>
    </row>
    <row r="234" spans="2:5" x14ac:dyDescent="0.2">
      <c r="B234" s="3"/>
      <c r="C234" s="3"/>
      <c r="D234" s="3"/>
      <c r="E234" s="3"/>
    </row>
    <row r="235" spans="2:5" x14ac:dyDescent="0.2">
      <c r="B235" s="3"/>
      <c r="C235" s="3"/>
      <c r="D235" s="3"/>
      <c r="E235" s="3"/>
    </row>
    <row r="236" spans="2:5" x14ac:dyDescent="0.2">
      <c r="B236" s="3"/>
      <c r="C236" s="3"/>
      <c r="D236" s="3"/>
      <c r="E236" s="3"/>
    </row>
    <row r="237" spans="2:5" x14ac:dyDescent="0.2">
      <c r="B237" s="3"/>
      <c r="C237" s="3"/>
      <c r="D237" s="3"/>
      <c r="E237" s="3"/>
    </row>
    <row r="238" spans="2:5" x14ac:dyDescent="0.2">
      <c r="B238" s="3"/>
      <c r="C238" s="3"/>
      <c r="D238" s="3"/>
      <c r="E238" s="3"/>
    </row>
    <row r="239" spans="2:5" x14ac:dyDescent="0.2">
      <c r="B239" s="3"/>
      <c r="C239" s="3"/>
      <c r="D239" s="3"/>
      <c r="E239" s="3"/>
    </row>
    <row r="240" spans="2:5" x14ac:dyDescent="0.2">
      <c r="B240" s="3"/>
      <c r="C240" s="3"/>
      <c r="D240" s="3"/>
      <c r="E240" s="3"/>
    </row>
    <row r="241" spans="2:5" x14ac:dyDescent="0.2">
      <c r="B241" s="3"/>
      <c r="C241" s="3"/>
      <c r="D241" s="3"/>
      <c r="E241" s="3"/>
    </row>
    <row r="242" spans="2:5" x14ac:dyDescent="0.2">
      <c r="B242" s="3"/>
      <c r="C242" s="3"/>
      <c r="D242" s="3"/>
      <c r="E242" s="3"/>
    </row>
    <row r="243" spans="2:5" x14ac:dyDescent="0.2">
      <c r="B243" s="3"/>
      <c r="C243" s="3"/>
      <c r="D243" s="3"/>
      <c r="E243" s="3"/>
    </row>
    <row r="244" spans="2:5" x14ac:dyDescent="0.2">
      <c r="B244" s="3"/>
      <c r="C244" s="3"/>
      <c r="D244" s="3"/>
      <c r="E244" s="3"/>
    </row>
    <row r="245" spans="2:5" x14ac:dyDescent="0.2">
      <c r="B245" s="3"/>
      <c r="C245" s="3"/>
      <c r="D245" s="3"/>
      <c r="E245" s="3"/>
    </row>
    <row r="246" spans="2:5" x14ac:dyDescent="0.2">
      <c r="B246" s="3"/>
      <c r="C246" s="3"/>
      <c r="D246" s="3"/>
      <c r="E246" s="3"/>
    </row>
    <row r="247" spans="2:5" x14ac:dyDescent="0.2">
      <c r="B247" s="3"/>
      <c r="C247" s="3"/>
      <c r="D247" s="3"/>
      <c r="E247" s="3"/>
    </row>
    <row r="248" spans="2:5" x14ac:dyDescent="0.2">
      <c r="B248" s="3"/>
      <c r="C248" s="3"/>
      <c r="D248" s="3"/>
      <c r="E248" s="3"/>
    </row>
    <row r="249" spans="2:5" x14ac:dyDescent="0.2">
      <c r="B249" s="3"/>
      <c r="C249" s="3"/>
      <c r="D249" s="3"/>
      <c r="E249" s="3"/>
    </row>
    <row r="250" spans="2:5" x14ac:dyDescent="0.2">
      <c r="B250" s="3"/>
      <c r="C250" s="3"/>
      <c r="D250" s="3"/>
      <c r="E250" s="3"/>
    </row>
    <row r="251" spans="2:5" x14ac:dyDescent="0.2">
      <c r="B251" s="3"/>
      <c r="C251" s="3"/>
      <c r="D251" s="3"/>
      <c r="E251" s="3"/>
    </row>
    <row r="252" spans="2:5" x14ac:dyDescent="0.2">
      <c r="B252" s="3"/>
      <c r="C252" s="3"/>
      <c r="D252" s="3"/>
      <c r="E252" s="3"/>
    </row>
    <row r="253" spans="2:5" x14ac:dyDescent="0.2">
      <c r="B253" s="3"/>
      <c r="C253" s="3"/>
      <c r="D253" s="3"/>
      <c r="E253" s="3"/>
    </row>
    <row r="254" spans="2:5" x14ac:dyDescent="0.2">
      <c r="B254" s="3"/>
      <c r="C254" s="3"/>
      <c r="D254" s="3"/>
      <c r="E254" s="3"/>
    </row>
    <row r="255" spans="2:5" x14ac:dyDescent="0.2">
      <c r="B255" s="3"/>
      <c r="C255" s="3"/>
      <c r="D255" s="3"/>
      <c r="E255" s="3"/>
    </row>
    <row r="256" spans="2:5" x14ac:dyDescent="0.2">
      <c r="B256" s="3"/>
      <c r="C256" s="3"/>
      <c r="D256" s="3"/>
      <c r="E256" s="3"/>
    </row>
    <row r="257" spans="2:5" x14ac:dyDescent="0.2">
      <c r="B257" s="3"/>
      <c r="C257" s="3"/>
      <c r="D257" s="3"/>
      <c r="E257" s="3"/>
    </row>
    <row r="258" spans="2:5" x14ac:dyDescent="0.2">
      <c r="B258" s="3"/>
      <c r="C258" s="3"/>
      <c r="D258" s="3"/>
      <c r="E258" s="3"/>
    </row>
    <row r="259" spans="2:5" x14ac:dyDescent="0.2">
      <c r="B259" s="3"/>
      <c r="C259" s="3"/>
      <c r="D259" s="3"/>
      <c r="E259" s="3"/>
    </row>
    <row r="260" spans="2:5" x14ac:dyDescent="0.2">
      <c r="B260" s="3"/>
      <c r="C260" s="3"/>
      <c r="D260" s="3"/>
      <c r="E260" s="3"/>
    </row>
    <row r="261" spans="2:5" x14ac:dyDescent="0.2">
      <c r="B261" s="3"/>
      <c r="C261" s="3"/>
      <c r="D261" s="3"/>
      <c r="E261" s="3"/>
    </row>
    <row r="262" spans="2:5" x14ac:dyDescent="0.2">
      <c r="B262" s="3"/>
      <c r="C262" s="3"/>
      <c r="D262" s="3"/>
      <c r="E262" s="3"/>
    </row>
    <row r="263" spans="2:5" x14ac:dyDescent="0.2">
      <c r="B263" s="3"/>
      <c r="C263" s="3"/>
      <c r="D263" s="3"/>
      <c r="E263" s="3"/>
    </row>
    <row r="264" spans="2:5" x14ac:dyDescent="0.2">
      <c r="B264" s="3"/>
      <c r="C264" s="3"/>
      <c r="D264" s="3"/>
      <c r="E264" s="3"/>
    </row>
    <row r="265" spans="2:5" x14ac:dyDescent="0.2">
      <c r="B265" s="3"/>
      <c r="C265" s="3"/>
      <c r="D265" s="3"/>
      <c r="E265" s="3"/>
    </row>
    <row r="266" spans="2:5" x14ac:dyDescent="0.2">
      <c r="B266" s="3"/>
      <c r="C266" s="3"/>
      <c r="D266" s="3"/>
      <c r="E266" s="3"/>
    </row>
    <row r="267" spans="2:5" x14ac:dyDescent="0.2">
      <c r="B267" s="3"/>
      <c r="C267" s="3"/>
      <c r="D267" s="3"/>
      <c r="E267" s="3"/>
    </row>
    <row r="268" spans="2:5" x14ac:dyDescent="0.2">
      <c r="B268" s="3"/>
      <c r="C268" s="3"/>
      <c r="D268" s="3"/>
      <c r="E268" s="3"/>
    </row>
    <row r="269" spans="2:5" x14ac:dyDescent="0.2">
      <c r="B269" s="3"/>
      <c r="C269" s="3"/>
      <c r="D269" s="3"/>
      <c r="E269" s="3"/>
    </row>
    <row r="270" spans="2:5" x14ac:dyDescent="0.2">
      <c r="B270" s="3"/>
      <c r="C270" s="3"/>
      <c r="D270" s="3"/>
      <c r="E270" s="3"/>
    </row>
    <row r="271" spans="2:5" x14ac:dyDescent="0.2">
      <c r="B271" s="3"/>
      <c r="C271" s="3"/>
      <c r="D271" s="3"/>
      <c r="E271" s="3"/>
    </row>
    <row r="272" spans="2:5" x14ac:dyDescent="0.2">
      <c r="B272" s="3"/>
      <c r="C272" s="3"/>
      <c r="D272" s="3"/>
      <c r="E272" s="3"/>
    </row>
    <row r="273" spans="2:5" x14ac:dyDescent="0.2">
      <c r="B273" s="3"/>
      <c r="C273" s="3"/>
      <c r="D273" s="3"/>
      <c r="E273" s="3"/>
    </row>
    <row r="274" spans="2:5" x14ac:dyDescent="0.2">
      <c r="B274" s="3"/>
      <c r="C274" s="3"/>
      <c r="D274" s="3"/>
      <c r="E274" s="3"/>
    </row>
    <row r="275" spans="2:5" x14ac:dyDescent="0.2">
      <c r="B275" s="3"/>
      <c r="C275" s="3"/>
      <c r="D275" s="3"/>
      <c r="E275" s="3"/>
    </row>
    <row r="276" spans="2:5" x14ac:dyDescent="0.2">
      <c r="B276" s="3"/>
      <c r="C276" s="3"/>
      <c r="D276" s="3"/>
      <c r="E276" s="3"/>
    </row>
    <row r="277" spans="2:5" x14ac:dyDescent="0.2">
      <c r="B277" s="3"/>
      <c r="C277" s="3"/>
      <c r="D277" s="3"/>
      <c r="E277" s="3"/>
    </row>
    <row r="278" spans="2:5" x14ac:dyDescent="0.2">
      <c r="B278" s="3"/>
      <c r="C278" s="3"/>
      <c r="D278" s="3"/>
      <c r="E278" s="3"/>
    </row>
    <row r="279" spans="2:5" x14ac:dyDescent="0.2">
      <c r="B279" s="3"/>
      <c r="C279" s="3"/>
      <c r="D279" s="3"/>
      <c r="E279" s="3"/>
    </row>
    <row r="280" spans="2:5" x14ac:dyDescent="0.2">
      <c r="B280" s="3"/>
      <c r="C280" s="3"/>
      <c r="D280" s="3"/>
      <c r="E280" s="3"/>
    </row>
    <row r="281" spans="2:5" x14ac:dyDescent="0.2">
      <c r="B281" s="3"/>
      <c r="C281" s="3"/>
      <c r="D281" s="3"/>
      <c r="E281" s="3"/>
    </row>
    <row r="282" spans="2:5" x14ac:dyDescent="0.2">
      <c r="B282" s="3"/>
      <c r="C282" s="3"/>
      <c r="D282" s="3"/>
      <c r="E282" s="3"/>
    </row>
    <row r="283" spans="2:5" x14ac:dyDescent="0.2">
      <c r="B283" s="3"/>
      <c r="C283" s="3"/>
      <c r="D283" s="3"/>
      <c r="E283" s="3"/>
    </row>
    <row r="284" spans="2:5" x14ac:dyDescent="0.2">
      <c r="B284" s="3"/>
      <c r="C284" s="3"/>
      <c r="D284" s="3"/>
      <c r="E284" s="3"/>
    </row>
    <row r="285" spans="2:5" x14ac:dyDescent="0.2">
      <c r="B285" s="3"/>
      <c r="C285" s="3"/>
      <c r="D285" s="3"/>
      <c r="E285" s="3"/>
    </row>
    <row r="286" spans="2:5" x14ac:dyDescent="0.2">
      <c r="B286" s="3"/>
      <c r="C286" s="3"/>
      <c r="D286" s="3"/>
      <c r="E286" s="3"/>
    </row>
    <row r="287" spans="2:5" x14ac:dyDescent="0.2">
      <c r="B287" s="3"/>
      <c r="C287" s="3"/>
      <c r="D287" s="3"/>
      <c r="E287" s="3"/>
    </row>
    <row r="288" spans="2:5" x14ac:dyDescent="0.2">
      <c r="B288" s="3"/>
      <c r="C288" s="3"/>
      <c r="D288" s="3"/>
      <c r="E288" s="3"/>
    </row>
    <row r="289" spans="2:5" x14ac:dyDescent="0.2">
      <c r="B289" s="3"/>
      <c r="C289" s="3"/>
      <c r="D289" s="3"/>
      <c r="E289" s="3"/>
    </row>
    <row r="290" spans="2:5" x14ac:dyDescent="0.2">
      <c r="B290" s="3"/>
      <c r="C290" s="3"/>
      <c r="D290" s="3"/>
      <c r="E290" s="3"/>
    </row>
    <row r="291" spans="2:5" x14ac:dyDescent="0.2">
      <c r="B291" s="3"/>
      <c r="C291" s="3"/>
      <c r="D291" s="3"/>
      <c r="E291" s="3"/>
    </row>
    <row r="292" spans="2:5" x14ac:dyDescent="0.2">
      <c r="B292" s="3"/>
      <c r="C292" s="3"/>
      <c r="D292" s="3"/>
      <c r="E292" s="3"/>
    </row>
    <row r="293" spans="2:5" x14ac:dyDescent="0.2">
      <c r="B293" s="3"/>
      <c r="C293" s="3"/>
      <c r="D293" s="3"/>
      <c r="E293" s="3"/>
    </row>
    <row r="294" spans="2:5" x14ac:dyDescent="0.2">
      <c r="B294" s="3"/>
      <c r="C294" s="3"/>
      <c r="D294" s="3"/>
      <c r="E294" s="3"/>
    </row>
    <row r="295" spans="2:5" x14ac:dyDescent="0.2">
      <c r="B295" s="3"/>
      <c r="C295" s="3"/>
      <c r="D295" s="3"/>
      <c r="E295" s="3"/>
    </row>
    <row r="296" spans="2:5" x14ac:dyDescent="0.2">
      <c r="B296" s="3"/>
      <c r="C296" s="3"/>
      <c r="D296" s="3"/>
      <c r="E296" s="3"/>
    </row>
    <row r="297" spans="2:5" x14ac:dyDescent="0.2">
      <c r="B297" s="3"/>
      <c r="C297" s="3"/>
      <c r="D297" s="3"/>
      <c r="E297" s="3"/>
    </row>
    <row r="298" spans="2:5" x14ac:dyDescent="0.2">
      <c r="B298" s="3"/>
      <c r="C298" s="3"/>
      <c r="D298" s="3"/>
      <c r="E298" s="3"/>
    </row>
    <row r="299" spans="2:5" x14ac:dyDescent="0.2">
      <c r="B299" s="3"/>
      <c r="C299" s="3"/>
      <c r="D299" s="3"/>
      <c r="E299" s="3"/>
    </row>
    <row r="300" spans="2:5" x14ac:dyDescent="0.2">
      <c r="B300" s="3"/>
      <c r="C300" s="3"/>
      <c r="D300" s="3"/>
      <c r="E300" s="3"/>
    </row>
    <row r="301" spans="2:5" x14ac:dyDescent="0.2">
      <c r="B301" s="3"/>
      <c r="C301" s="3"/>
      <c r="D301" s="3"/>
      <c r="E301" s="3"/>
    </row>
    <row r="302" spans="2:5" x14ac:dyDescent="0.2">
      <c r="B302" s="3"/>
      <c r="C302" s="3"/>
      <c r="D302" s="3"/>
      <c r="E302" s="3"/>
    </row>
    <row r="303" spans="2:5" x14ac:dyDescent="0.2">
      <c r="B303" s="3"/>
      <c r="C303" s="3"/>
      <c r="D303" s="3"/>
      <c r="E303" s="3"/>
    </row>
    <row r="304" spans="2:5" x14ac:dyDescent="0.2">
      <c r="B304" s="3"/>
      <c r="C304" s="3"/>
      <c r="D304" s="3"/>
      <c r="E304" s="3"/>
    </row>
    <row r="305" spans="2:5" x14ac:dyDescent="0.2">
      <c r="B305" s="3"/>
      <c r="C305" s="3"/>
      <c r="D305" s="3"/>
      <c r="E305" s="3"/>
    </row>
    <row r="306" spans="2:5" x14ac:dyDescent="0.2">
      <c r="B306" s="3"/>
      <c r="C306" s="3"/>
      <c r="D306" s="3"/>
      <c r="E306" s="3"/>
    </row>
    <row r="307" spans="2:5" x14ac:dyDescent="0.2">
      <c r="B307" s="3"/>
      <c r="C307" s="3"/>
      <c r="D307" s="3"/>
      <c r="E307" s="3"/>
    </row>
    <row r="308" spans="2:5" x14ac:dyDescent="0.2">
      <c r="B308" s="3"/>
      <c r="C308" s="3"/>
      <c r="D308" s="3"/>
      <c r="E308" s="3"/>
    </row>
    <row r="309" spans="2:5" x14ac:dyDescent="0.2">
      <c r="B309" s="3"/>
      <c r="C309" s="3"/>
      <c r="D309" s="3"/>
      <c r="E309" s="3"/>
    </row>
    <row r="310" spans="2:5" x14ac:dyDescent="0.2">
      <c r="B310" s="3"/>
      <c r="C310" s="3"/>
      <c r="D310" s="3"/>
      <c r="E310" s="3"/>
    </row>
    <row r="311" spans="2:5" x14ac:dyDescent="0.2">
      <c r="B311" s="3"/>
      <c r="C311" s="3"/>
      <c r="D311" s="3"/>
      <c r="E311" s="3"/>
    </row>
    <row r="312" spans="2:5" x14ac:dyDescent="0.2">
      <c r="B312" s="3"/>
      <c r="C312" s="3"/>
      <c r="D312" s="3"/>
      <c r="E312" s="3"/>
    </row>
    <row r="313" spans="2:5" x14ac:dyDescent="0.2">
      <c r="B313" s="3"/>
      <c r="C313" s="3"/>
      <c r="D313" s="3"/>
      <c r="E313" s="3"/>
    </row>
    <row r="314" spans="2:5" x14ac:dyDescent="0.2">
      <c r="B314" s="3"/>
      <c r="C314" s="3"/>
      <c r="D314" s="3"/>
      <c r="E314" s="3"/>
    </row>
    <row r="315" spans="2:5" x14ac:dyDescent="0.2">
      <c r="B315" s="3"/>
      <c r="C315" s="3"/>
      <c r="D315" s="3"/>
      <c r="E315" s="3"/>
    </row>
    <row r="316" spans="2:5" x14ac:dyDescent="0.2">
      <c r="B316" s="3"/>
      <c r="C316" s="3"/>
      <c r="D316" s="3"/>
      <c r="E316" s="3"/>
    </row>
    <row r="317" spans="2:5" x14ac:dyDescent="0.2">
      <c r="B317" s="3"/>
      <c r="C317" s="3"/>
      <c r="D317" s="3"/>
      <c r="E317" s="3"/>
    </row>
    <row r="318" spans="2:5" x14ac:dyDescent="0.2">
      <c r="B318" s="3"/>
      <c r="C318" s="3"/>
      <c r="D318" s="3"/>
      <c r="E318" s="3"/>
    </row>
    <row r="319" spans="2:5" x14ac:dyDescent="0.2">
      <c r="B319" s="3"/>
      <c r="C319" s="3"/>
      <c r="D319" s="3"/>
      <c r="E319" s="3"/>
    </row>
    <row r="320" spans="2:5" x14ac:dyDescent="0.2">
      <c r="B320" s="3"/>
      <c r="C320" s="3"/>
      <c r="D320" s="3"/>
      <c r="E320" s="3"/>
    </row>
    <row r="321" spans="2:5" x14ac:dyDescent="0.2">
      <c r="B321" s="3"/>
      <c r="C321" s="3"/>
      <c r="D321" s="3"/>
      <c r="E321" s="3"/>
    </row>
    <row r="322" spans="2:5" x14ac:dyDescent="0.2">
      <c r="B322" s="3"/>
      <c r="C322" s="3"/>
      <c r="D322" s="3"/>
      <c r="E322" s="3"/>
    </row>
    <row r="323" spans="2:5" x14ac:dyDescent="0.2">
      <c r="B323" s="3"/>
      <c r="C323" s="3"/>
      <c r="D323" s="3"/>
      <c r="E323" s="3"/>
    </row>
    <row r="324" spans="2:5" x14ac:dyDescent="0.2">
      <c r="B324" s="3"/>
      <c r="C324" s="3"/>
      <c r="D324" s="3"/>
      <c r="E324" s="3"/>
    </row>
    <row r="325" spans="2:5" x14ac:dyDescent="0.2">
      <c r="B325" s="3"/>
      <c r="C325" s="3"/>
      <c r="D325" s="3"/>
      <c r="E325" s="3"/>
    </row>
    <row r="326" spans="2:5" x14ac:dyDescent="0.2">
      <c r="B326" s="3"/>
      <c r="C326" s="3"/>
      <c r="D326" s="3"/>
      <c r="E326" s="3"/>
    </row>
    <row r="327" spans="2:5" x14ac:dyDescent="0.2">
      <c r="B327" s="3"/>
      <c r="C327" s="3"/>
      <c r="D327" s="3"/>
      <c r="E327" s="3"/>
    </row>
    <row r="328" spans="2:5" x14ac:dyDescent="0.2">
      <c r="B328" s="3"/>
      <c r="C328" s="3"/>
      <c r="D328" s="3"/>
      <c r="E328" s="3"/>
    </row>
    <row r="329" spans="2:5" x14ac:dyDescent="0.2">
      <c r="B329" s="3"/>
      <c r="C329" s="3"/>
      <c r="D329" s="3"/>
      <c r="E329" s="3"/>
    </row>
    <row r="330" spans="2:5" x14ac:dyDescent="0.2">
      <c r="B330" s="3"/>
      <c r="C330" s="3"/>
      <c r="D330" s="3"/>
      <c r="E330" s="3"/>
    </row>
    <row r="331" spans="2:5" x14ac:dyDescent="0.2">
      <c r="B331" s="3"/>
      <c r="C331" s="3"/>
      <c r="D331" s="3"/>
      <c r="E331" s="3"/>
    </row>
    <row r="332" spans="2:5" x14ac:dyDescent="0.2">
      <c r="B332" s="3"/>
      <c r="C332" s="3"/>
      <c r="D332" s="3"/>
      <c r="E332" s="3"/>
    </row>
    <row r="333" spans="2:5" x14ac:dyDescent="0.2">
      <c r="B333" s="3"/>
      <c r="C333" s="3"/>
      <c r="D333" s="3"/>
      <c r="E333" s="3"/>
    </row>
    <row r="334" spans="2:5" x14ac:dyDescent="0.2">
      <c r="B334" s="3"/>
      <c r="C334" s="3"/>
      <c r="D334" s="3"/>
      <c r="E334" s="3"/>
    </row>
    <row r="335" spans="2:5" x14ac:dyDescent="0.2">
      <c r="B335" s="3"/>
      <c r="C335" s="3"/>
      <c r="D335" s="3"/>
      <c r="E335" s="3"/>
    </row>
    <row r="336" spans="2:5" x14ac:dyDescent="0.2">
      <c r="B336" s="3"/>
      <c r="C336" s="3"/>
      <c r="D336" s="3"/>
      <c r="E336" s="3"/>
    </row>
    <row r="337" spans="2:5" x14ac:dyDescent="0.2">
      <c r="B337" s="3"/>
      <c r="C337" s="3"/>
      <c r="D337" s="3"/>
      <c r="E337" s="3"/>
    </row>
    <row r="338" spans="2:5" x14ac:dyDescent="0.2">
      <c r="B338" s="3"/>
      <c r="C338" s="3"/>
      <c r="D338" s="3"/>
      <c r="E338" s="3"/>
    </row>
    <row r="339" spans="2:5" x14ac:dyDescent="0.2">
      <c r="B339" s="3"/>
      <c r="C339" s="3"/>
      <c r="D339" s="3"/>
      <c r="E339" s="3"/>
    </row>
    <row r="340" spans="2:5" x14ac:dyDescent="0.2">
      <c r="B340" s="3"/>
      <c r="C340" s="3"/>
      <c r="D340" s="3"/>
      <c r="E340" s="3"/>
    </row>
    <row r="341" spans="2:5" x14ac:dyDescent="0.2">
      <c r="B341" s="3"/>
      <c r="C341" s="3"/>
      <c r="D341" s="3"/>
      <c r="E341" s="3"/>
    </row>
    <row r="342" spans="2:5" x14ac:dyDescent="0.2">
      <c r="B342" s="3"/>
      <c r="C342" s="3"/>
      <c r="D342" s="3"/>
      <c r="E342" s="3"/>
    </row>
    <row r="343" spans="2:5" x14ac:dyDescent="0.2">
      <c r="B343" s="3"/>
      <c r="C343" s="3"/>
      <c r="D343" s="3"/>
      <c r="E343" s="3"/>
    </row>
    <row r="344" spans="2:5" x14ac:dyDescent="0.2">
      <c r="B344" s="3"/>
      <c r="C344" s="3"/>
      <c r="D344" s="3"/>
      <c r="E344" s="3"/>
    </row>
    <row r="345" spans="2:5" x14ac:dyDescent="0.2">
      <c r="B345" s="3"/>
      <c r="C345" s="3"/>
      <c r="D345" s="3"/>
      <c r="E345" s="3"/>
    </row>
    <row r="346" spans="2:5" x14ac:dyDescent="0.2">
      <c r="B346" s="3"/>
      <c r="C346" s="3"/>
      <c r="D346" s="3"/>
      <c r="E346" s="3"/>
    </row>
    <row r="347" spans="2:5" x14ac:dyDescent="0.2">
      <c r="B347" s="3"/>
      <c r="C347" s="3"/>
      <c r="D347" s="3"/>
      <c r="E347" s="3"/>
    </row>
    <row r="348" spans="2:5" x14ac:dyDescent="0.2">
      <c r="B348" s="3"/>
      <c r="C348" s="3"/>
      <c r="D348" s="3"/>
      <c r="E348" s="3"/>
    </row>
    <row r="349" spans="2:5" x14ac:dyDescent="0.2">
      <c r="B349" s="3"/>
      <c r="C349" s="3"/>
      <c r="D349" s="3"/>
      <c r="E349" s="3"/>
    </row>
    <row r="350" spans="2:5" x14ac:dyDescent="0.2">
      <c r="B350" s="3"/>
      <c r="C350" s="3"/>
      <c r="D350" s="3"/>
      <c r="E350" s="3"/>
    </row>
    <row r="351" spans="2:5" x14ac:dyDescent="0.2">
      <c r="B351" s="3"/>
      <c r="C351" s="3"/>
      <c r="D351" s="3"/>
      <c r="E351" s="3"/>
    </row>
    <row r="352" spans="2:5" x14ac:dyDescent="0.2">
      <c r="B352" s="3"/>
      <c r="C352" s="3"/>
      <c r="D352" s="3"/>
      <c r="E352" s="3"/>
    </row>
    <row r="353" spans="2:5" x14ac:dyDescent="0.2">
      <c r="B353" s="3"/>
      <c r="C353" s="3"/>
      <c r="D353" s="3"/>
      <c r="E353" s="3"/>
    </row>
    <row r="354" spans="2:5" x14ac:dyDescent="0.2">
      <c r="B354" s="3"/>
      <c r="C354" s="3"/>
      <c r="D354" s="3"/>
      <c r="E354" s="3"/>
    </row>
    <row r="355" spans="2:5" x14ac:dyDescent="0.2">
      <c r="B355" s="3"/>
      <c r="C355" s="3"/>
      <c r="D355" s="3"/>
      <c r="E355" s="3"/>
    </row>
    <row r="356" spans="2:5" x14ac:dyDescent="0.2">
      <c r="B356" s="3"/>
      <c r="C356" s="3"/>
      <c r="D356" s="3"/>
      <c r="E356" s="3"/>
    </row>
    <row r="357" spans="2:5" x14ac:dyDescent="0.2">
      <c r="B357" s="3"/>
      <c r="C357" s="3"/>
      <c r="D357" s="3"/>
      <c r="E357" s="3"/>
    </row>
    <row r="358" spans="2:5" x14ac:dyDescent="0.2">
      <c r="B358" s="3"/>
      <c r="C358" s="3"/>
      <c r="D358" s="3"/>
      <c r="E358" s="3"/>
    </row>
    <row r="359" spans="2:5" x14ac:dyDescent="0.2">
      <c r="B359" s="3"/>
      <c r="C359" s="3"/>
      <c r="D359" s="3"/>
      <c r="E359" s="3"/>
    </row>
    <row r="360" spans="2:5" x14ac:dyDescent="0.2">
      <c r="B360" s="3"/>
      <c r="C360" s="3"/>
      <c r="D360" s="3"/>
      <c r="E360" s="3"/>
    </row>
    <row r="361" spans="2:5" x14ac:dyDescent="0.2">
      <c r="B361" s="3"/>
      <c r="C361" s="3"/>
      <c r="D361" s="3"/>
      <c r="E361" s="3"/>
    </row>
    <row r="362" spans="2:5" x14ac:dyDescent="0.2">
      <c r="B362" s="3"/>
      <c r="C362" s="3"/>
      <c r="D362" s="3"/>
      <c r="E362" s="3"/>
    </row>
    <row r="363" spans="2:5" x14ac:dyDescent="0.2">
      <c r="B363" s="3"/>
      <c r="C363" s="3"/>
      <c r="D363" s="3"/>
      <c r="E363" s="3"/>
    </row>
    <row r="364" spans="2:5" x14ac:dyDescent="0.2">
      <c r="B364" s="3"/>
      <c r="C364" s="3"/>
      <c r="D364" s="3"/>
      <c r="E364" s="3"/>
    </row>
    <row r="365" spans="2:5" x14ac:dyDescent="0.2">
      <c r="B365" s="3"/>
      <c r="C365" s="3"/>
      <c r="D365" s="3"/>
      <c r="E365" s="3"/>
    </row>
    <row r="366" spans="2:5" x14ac:dyDescent="0.2">
      <c r="B366" s="3"/>
      <c r="C366" s="3"/>
      <c r="D366" s="3"/>
      <c r="E366" s="3"/>
    </row>
    <row r="367" spans="2:5" x14ac:dyDescent="0.2">
      <c r="B367" s="3"/>
      <c r="C367" s="3"/>
      <c r="D367" s="3"/>
      <c r="E367" s="3"/>
    </row>
    <row r="368" spans="2:5" x14ac:dyDescent="0.2">
      <c r="B368" s="3"/>
      <c r="C368" s="3"/>
      <c r="D368" s="3"/>
      <c r="E368" s="3"/>
    </row>
    <row r="369" spans="2:5" x14ac:dyDescent="0.2">
      <c r="B369" s="3"/>
      <c r="C369" s="3"/>
      <c r="D369" s="3"/>
      <c r="E369" s="3"/>
    </row>
    <row r="370" spans="2:5" x14ac:dyDescent="0.2">
      <c r="B370" s="3"/>
      <c r="C370" s="3"/>
      <c r="D370" s="3"/>
      <c r="E370" s="3"/>
    </row>
    <row r="371" spans="2:5" x14ac:dyDescent="0.2">
      <c r="B371" s="3"/>
      <c r="C371" s="3"/>
      <c r="D371" s="3"/>
      <c r="E371" s="3"/>
    </row>
    <row r="372" spans="2:5" x14ac:dyDescent="0.2">
      <c r="B372" s="3"/>
      <c r="C372" s="3"/>
      <c r="D372" s="3"/>
      <c r="E372" s="3"/>
    </row>
    <row r="373" spans="2:5" x14ac:dyDescent="0.2">
      <c r="B373" s="3"/>
      <c r="C373" s="3"/>
      <c r="D373" s="3"/>
      <c r="E373" s="3"/>
    </row>
    <row r="374" spans="2:5" x14ac:dyDescent="0.2">
      <c r="B374" s="3"/>
      <c r="C374" s="3"/>
      <c r="D374" s="3"/>
      <c r="E374" s="3"/>
    </row>
    <row r="375" spans="2:5" x14ac:dyDescent="0.2">
      <c r="B375" s="3"/>
      <c r="C375" s="3"/>
      <c r="D375" s="3"/>
      <c r="E375" s="3"/>
    </row>
    <row r="376" spans="2:5" x14ac:dyDescent="0.2">
      <c r="B376" s="3"/>
      <c r="C376" s="3"/>
      <c r="D376" s="3"/>
      <c r="E376" s="3"/>
    </row>
    <row r="377" spans="2:5" x14ac:dyDescent="0.2">
      <c r="B377" s="3"/>
      <c r="C377" s="3"/>
      <c r="D377" s="3"/>
      <c r="E377" s="3"/>
    </row>
    <row r="378" spans="2:5" x14ac:dyDescent="0.2">
      <c r="B378" s="3"/>
      <c r="C378" s="3"/>
      <c r="D378" s="3"/>
      <c r="E378" s="3"/>
    </row>
    <row r="379" spans="2:5" x14ac:dyDescent="0.2">
      <c r="B379" s="3"/>
      <c r="C379" s="3"/>
      <c r="D379" s="3"/>
      <c r="E379" s="3"/>
    </row>
    <row r="380" spans="2:5" x14ac:dyDescent="0.2">
      <c r="B380" s="3"/>
      <c r="C380" s="3"/>
      <c r="D380" s="3"/>
      <c r="E380" s="3"/>
    </row>
    <row r="381" spans="2:5" x14ac:dyDescent="0.2">
      <c r="B381" s="3"/>
      <c r="C381" s="3"/>
      <c r="D381" s="3"/>
      <c r="E381" s="3"/>
    </row>
    <row r="382" spans="2:5" x14ac:dyDescent="0.2">
      <c r="B382" s="3"/>
      <c r="C382" s="3"/>
      <c r="D382" s="3"/>
      <c r="E382" s="3"/>
    </row>
    <row r="383" spans="2:5" x14ac:dyDescent="0.2">
      <c r="B383" s="3"/>
      <c r="C383" s="3"/>
      <c r="D383" s="3"/>
      <c r="E383" s="3"/>
    </row>
    <row r="384" spans="2:5" x14ac:dyDescent="0.2">
      <c r="B384" s="3"/>
      <c r="C384" s="3"/>
      <c r="D384" s="3"/>
      <c r="E384" s="3"/>
    </row>
    <row r="385" spans="2:5" x14ac:dyDescent="0.2">
      <c r="B385" s="3"/>
      <c r="C385" s="3"/>
      <c r="D385" s="3"/>
      <c r="E385" s="3"/>
    </row>
    <row r="386" spans="2:5" x14ac:dyDescent="0.2">
      <c r="B386" s="3"/>
      <c r="C386" s="3"/>
      <c r="D386" s="3"/>
      <c r="E386" s="3"/>
    </row>
    <row r="387" spans="2:5" x14ac:dyDescent="0.2">
      <c r="B387" s="3"/>
      <c r="C387" s="3"/>
      <c r="D387" s="3"/>
      <c r="E387" s="3"/>
    </row>
    <row r="388" spans="2:5" x14ac:dyDescent="0.2">
      <c r="B388" s="3"/>
      <c r="C388" s="3"/>
      <c r="D388" s="3"/>
      <c r="E388" s="3"/>
    </row>
    <row r="389" spans="2:5" x14ac:dyDescent="0.2">
      <c r="B389" s="3"/>
      <c r="C389" s="3"/>
      <c r="D389" s="3"/>
      <c r="E389" s="3"/>
    </row>
    <row r="390" spans="2:5" x14ac:dyDescent="0.2">
      <c r="B390" s="3"/>
      <c r="C390" s="3"/>
      <c r="D390" s="3"/>
      <c r="E390" s="3"/>
    </row>
    <row r="391" spans="2:5" x14ac:dyDescent="0.2">
      <c r="B391" s="3"/>
      <c r="C391" s="3"/>
      <c r="D391" s="3"/>
      <c r="E391" s="3"/>
    </row>
    <row r="392" spans="2:5" x14ac:dyDescent="0.2">
      <c r="B392" s="3"/>
      <c r="C392" s="3"/>
      <c r="D392" s="3"/>
      <c r="E392" s="3"/>
    </row>
    <row r="393" spans="2:5" x14ac:dyDescent="0.2">
      <c r="B393" s="3"/>
      <c r="C393" s="3"/>
      <c r="D393" s="3"/>
      <c r="E393" s="3"/>
    </row>
    <row r="394" spans="2:5" x14ac:dyDescent="0.2">
      <c r="B394" s="3"/>
      <c r="C394" s="3"/>
      <c r="D394" s="3"/>
      <c r="E394" s="3"/>
    </row>
    <row r="395" spans="2:5" x14ac:dyDescent="0.2">
      <c r="B395" s="3"/>
      <c r="C395" s="3"/>
      <c r="D395" s="3"/>
      <c r="E395" s="3"/>
    </row>
    <row r="396" spans="2:5" x14ac:dyDescent="0.2">
      <c r="B396" s="3"/>
      <c r="C396" s="3"/>
      <c r="D396" s="3"/>
      <c r="E396" s="3"/>
    </row>
    <row r="397" spans="2:5" x14ac:dyDescent="0.2">
      <c r="B397" s="3"/>
      <c r="C397" s="3"/>
      <c r="D397" s="3"/>
      <c r="E397" s="3"/>
    </row>
    <row r="398" spans="2:5" x14ac:dyDescent="0.2">
      <c r="B398" s="3"/>
      <c r="C398" s="3"/>
      <c r="D398" s="3"/>
      <c r="E398" s="3"/>
    </row>
    <row r="399" spans="2:5" x14ac:dyDescent="0.2">
      <c r="B399" s="3"/>
      <c r="C399" s="3"/>
      <c r="D399" s="3"/>
      <c r="E399" s="3"/>
    </row>
    <row r="400" spans="2:5" x14ac:dyDescent="0.2">
      <c r="B400" s="3"/>
      <c r="C400" s="3"/>
      <c r="D400" s="3"/>
      <c r="E400" s="3"/>
    </row>
    <row r="401" spans="2:5" x14ac:dyDescent="0.2">
      <c r="B401" s="3"/>
      <c r="C401" s="3"/>
      <c r="D401" s="3"/>
      <c r="E401" s="3"/>
    </row>
    <row r="402" spans="2:5" x14ac:dyDescent="0.2">
      <c r="B402" s="3"/>
      <c r="C402" s="3"/>
      <c r="D402" s="3"/>
      <c r="E402" s="3"/>
    </row>
    <row r="403" spans="2:5" x14ac:dyDescent="0.2">
      <c r="B403" s="3"/>
      <c r="C403" s="3"/>
      <c r="D403" s="3"/>
      <c r="E403" s="3"/>
    </row>
    <row r="404" spans="2:5" x14ac:dyDescent="0.2">
      <c r="B404" s="3"/>
      <c r="C404" s="3"/>
      <c r="D404" s="3"/>
      <c r="E404" s="3"/>
    </row>
    <row r="405" spans="2:5" x14ac:dyDescent="0.2">
      <c r="B405" s="3"/>
      <c r="C405" s="3"/>
      <c r="D405" s="3"/>
      <c r="E405" s="3"/>
    </row>
    <row r="406" spans="2:5" x14ac:dyDescent="0.2">
      <c r="B406" s="3"/>
      <c r="C406" s="3"/>
      <c r="D406" s="3"/>
      <c r="E406" s="3"/>
    </row>
    <row r="407" spans="2:5" x14ac:dyDescent="0.2">
      <c r="B407" s="3"/>
      <c r="C407" s="3"/>
      <c r="D407" s="3"/>
      <c r="E407" s="3"/>
    </row>
    <row r="408" spans="2:5" x14ac:dyDescent="0.2">
      <c r="B408" s="3"/>
      <c r="C408" s="3"/>
      <c r="D408" s="3"/>
      <c r="E408" s="3"/>
    </row>
    <row r="409" spans="2:5" x14ac:dyDescent="0.2">
      <c r="B409" s="3"/>
      <c r="C409" s="3"/>
      <c r="D409" s="3"/>
      <c r="E409" s="3"/>
    </row>
    <row r="410" spans="2:5" x14ac:dyDescent="0.2">
      <c r="B410" s="3"/>
      <c r="C410" s="3"/>
      <c r="D410" s="3"/>
      <c r="E410" s="3"/>
    </row>
    <row r="411" spans="2:5" x14ac:dyDescent="0.2">
      <c r="B411" s="3"/>
      <c r="C411" s="3"/>
      <c r="D411" s="3"/>
      <c r="E411" s="3"/>
    </row>
    <row r="412" spans="2:5" x14ac:dyDescent="0.2">
      <c r="B412" s="3"/>
      <c r="C412" s="3"/>
      <c r="D412" s="3"/>
      <c r="E412" s="3"/>
    </row>
    <row r="413" spans="2:5" x14ac:dyDescent="0.2">
      <c r="B413" s="3"/>
      <c r="C413" s="3"/>
      <c r="D413" s="3"/>
      <c r="E413" s="3"/>
    </row>
    <row r="414" spans="2:5" x14ac:dyDescent="0.2">
      <c r="B414" s="3"/>
      <c r="C414" s="3"/>
      <c r="D414" s="3"/>
      <c r="E414" s="3"/>
    </row>
    <row r="415" spans="2:5" x14ac:dyDescent="0.2">
      <c r="B415" s="3"/>
      <c r="C415" s="3"/>
      <c r="D415" s="3"/>
      <c r="E415" s="3"/>
    </row>
    <row r="416" spans="2:5" x14ac:dyDescent="0.2">
      <c r="B416" s="3"/>
      <c r="C416" s="3"/>
      <c r="D416" s="3"/>
      <c r="E416" s="3"/>
    </row>
    <row r="417" spans="2:5" x14ac:dyDescent="0.2">
      <c r="B417" s="3"/>
      <c r="C417" s="3"/>
      <c r="D417" s="3"/>
      <c r="E417" s="3"/>
    </row>
    <row r="418" spans="2:5" x14ac:dyDescent="0.2">
      <c r="B418" s="3"/>
      <c r="C418" s="3"/>
      <c r="D418" s="3"/>
      <c r="E418" s="3"/>
    </row>
    <row r="419" spans="2:5" x14ac:dyDescent="0.2">
      <c r="B419" s="3"/>
      <c r="C419" s="3"/>
      <c r="D419" s="3"/>
      <c r="E419" s="3"/>
    </row>
    <row r="420" spans="2:5" x14ac:dyDescent="0.2">
      <c r="B420" s="3"/>
      <c r="C420" s="3"/>
      <c r="D420" s="3"/>
      <c r="E420" s="3"/>
    </row>
    <row r="421" spans="2:5" x14ac:dyDescent="0.2">
      <c r="B421" s="3"/>
      <c r="C421" s="3"/>
      <c r="D421" s="3"/>
      <c r="E421" s="3"/>
    </row>
    <row r="422" spans="2:5" x14ac:dyDescent="0.2">
      <c r="B422" s="3"/>
      <c r="C422" s="3"/>
      <c r="D422" s="3"/>
      <c r="E422" s="3"/>
    </row>
    <row r="423" spans="2:5" x14ac:dyDescent="0.2">
      <c r="B423" s="3"/>
      <c r="C423" s="3"/>
      <c r="D423" s="3"/>
      <c r="E423" s="3"/>
    </row>
    <row r="424" spans="2:5" x14ac:dyDescent="0.2">
      <c r="B424" s="3"/>
      <c r="C424" s="3"/>
      <c r="D424" s="3"/>
      <c r="E424" s="3"/>
    </row>
    <row r="425" spans="2:5" x14ac:dyDescent="0.2">
      <c r="B425" s="3"/>
      <c r="C425" s="3"/>
      <c r="D425" s="3"/>
      <c r="E425" s="3"/>
    </row>
    <row r="426" spans="2:5" x14ac:dyDescent="0.2">
      <c r="B426" s="3"/>
      <c r="C426" s="3"/>
      <c r="D426" s="3"/>
      <c r="E426" s="3"/>
    </row>
    <row r="427" spans="2:5" x14ac:dyDescent="0.2">
      <c r="B427" s="3"/>
      <c r="C427" s="3"/>
      <c r="D427" s="3"/>
      <c r="E427" s="3"/>
    </row>
    <row r="428" spans="2:5" x14ac:dyDescent="0.2">
      <c r="B428" s="3"/>
      <c r="C428" s="3"/>
      <c r="D428" s="3"/>
      <c r="E428" s="3"/>
    </row>
    <row r="429" spans="2:5" x14ac:dyDescent="0.2">
      <c r="B429" s="3"/>
      <c r="C429" s="3"/>
      <c r="D429" s="3"/>
      <c r="E429" s="3"/>
    </row>
    <row r="430" spans="2:5" x14ac:dyDescent="0.2">
      <c r="B430" s="3"/>
      <c r="C430" s="3"/>
      <c r="D430" s="3"/>
      <c r="E430" s="3"/>
    </row>
  </sheetData>
  <mergeCells count="53">
    <mergeCell ref="A88:B88"/>
    <mergeCell ref="A89:B89"/>
    <mergeCell ref="A90:B90"/>
    <mergeCell ref="A43:B43"/>
    <mergeCell ref="A44:B44"/>
    <mergeCell ref="A52:B52"/>
    <mergeCell ref="A53:B53"/>
    <mergeCell ref="A47:L47"/>
    <mergeCell ref="I50:I51"/>
    <mergeCell ref="A87:B87"/>
    <mergeCell ref="C49:C51"/>
    <mergeCell ref="D49:D51"/>
    <mergeCell ref="E49:E51"/>
    <mergeCell ref="L48:L51"/>
    <mergeCell ref="I49:K49"/>
    <mergeCell ref="J50:J51"/>
    <mergeCell ref="J1:L1"/>
    <mergeCell ref="A3:L3"/>
    <mergeCell ref="A5:L5"/>
    <mergeCell ref="H6:K6"/>
    <mergeCell ref="I7:K7"/>
    <mergeCell ref="D7:D9"/>
    <mergeCell ref="E7:E9"/>
    <mergeCell ref="F7:G7"/>
    <mergeCell ref="F8:F9"/>
    <mergeCell ref="G8:G9"/>
    <mergeCell ref="J8:J9"/>
    <mergeCell ref="K8:K9"/>
    <mergeCell ref="L6:L9"/>
    <mergeCell ref="H7:H9"/>
    <mergeCell ref="I8:I9"/>
    <mergeCell ref="C6:G6"/>
    <mergeCell ref="K50:K51"/>
    <mergeCell ref="A86:B86"/>
    <mergeCell ref="H48:K48"/>
    <mergeCell ref="A48:B51"/>
    <mergeCell ref="A79:B79"/>
    <mergeCell ref="A81:B81"/>
    <mergeCell ref="A84:B84"/>
    <mergeCell ref="A78:B78"/>
    <mergeCell ref="A82:B82"/>
    <mergeCell ref="A83:B83"/>
    <mergeCell ref="F50:F51"/>
    <mergeCell ref="G50:G51"/>
    <mergeCell ref="H49:H51"/>
    <mergeCell ref="A28:B28"/>
    <mergeCell ref="C48:G48"/>
    <mergeCell ref="F49:G49"/>
    <mergeCell ref="C7:C9"/>
    <mergeCell ref="A6:B9"/>
    <mergeCell ref="A10:B10"/>
    <mergeCell ref="A11:B11"/>
    <mergeCell ref="A14:B14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0" firstPageNumber="43" orientation="portrait" useFirstPageNumber="1" r:id="rId1"/>
  <headerFooter alignWithMargins="0">
    <oddHeader>&amp;C&amp;"Arial,Kursywa"Informacja o wykonaniu budżetu Województwa Zachodniopomorskiego za I kwartał 2014 roku
______________________________________________________________________________________________________________________________________________</oddHeader>
    <oddFooter>&amp;C&amp;8&amp;P</oddFooter>
  </headerFooter>
  <rowBreaks count="1" manualBreakCount="1">
    <brk id="45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E537"/>
  <sheetViews>
    <sheetView showGridLines="0" view="pageBreakPreview" zoomScaleNormal="100" zoomScaleSheetLayoutView="100" workbookViewId="0"/>
  </sheetViews>
  <sheetFormatPr defaultRowHeight="11.25" x14ac:dyDescent="0.2"/>
  <cols>
    <col min="1" max="1" width="2.85546875" style="1745" customWidth="1"/>
    <col min="2" max="2" width="52.28515625" style="1746" customWidth="1"/>
    <col min="3" max="3" width="11" style="1746" customWidth="1"/>
    <col min="4" max="4" width="12.7109375" style="1746" customWidth="1"/>
    <col min="5" max="5" width="11.85546875" style="1746" hidden="1" customWidth="1"/>
    <col min="6" max="6" width="13.28515625" style="1746" hidden="1" customWidth="1"/>
    <col min="7" max="7" width="12.42578125" style="1746" customWidth="1"/>
    <col min="8" max="8" width="12.7109375" style="1746" customWidth="1"/>
    <col min="9" max="9" width="12.28515625" style="1746" customWidth="1"/>
    <col min="10" max="10" width="11.28515625" style="1977" customWidth="1"/>
    <col min="11" max="11" width="11.28515625" style="1750" customWidth="1"/>
    <col min="12" max="12" width="10.7109375" style="1750" customWidth="1"/>
    <col min="13" max="13" width="12" style="1750" hidden="1" customWidth="1"/>
    <col min="14" max="14" width="13.5703125" style="1748" customWidth="1"/>
    <col min="15" max="15" width="11.85546875" style="1746" customWidth="1"/>
    <col min="16" max="16384" width="9.140625" style="1746"/>
  </cols>
  <sheetData>
    <row r="1" spans="1:109" ht="24.75" customHeight="1" x14ac:dyDescent="0.3">
      <c r="I1" s="28"/>
      <c r="J1" s="28"/>
      <c r="K1" s="3066" t="s">
        <v>386</v>
      </c>
      <c r="L1" s="3066"/>
    </row>
    <row r="2" spans="1:109" ht="15" customHeight="1" x14ac:dyDescent="0.2">
      <c r="I2" s="1226"/>
      <c r="J2" s="1746"/>
      <c r="K2" s="1746"/>
      <c r="L2" s="1746"/>
      <c r="M2" s="1746"/>
      <c r="N2" s="1225"/>
    </row>
    <row r="3" spans="1:109" ht="5.25" customHeight="1" thickBot="1" x14ac:dyDescent="0.25">
      <c r="I3" s="1226"/>
      <c r="J3" s="1746"/>
      <c r="K3" s="1746"/>
      <c r="L3" s="1746"/>
      <c r="M3" s="1746"/>
      <c r="N3" s="1225"/>
    </row>
    <row r="4" spans="1:109" ht="9" customHeight="1" x14ac:dyDescent="0.2">
      <c r="A4" s="1969"/>
      <c r="B4" s="1970"/>
      <c r="C4" s="1970"/>
      <c r="D4" s="1970"/>
      <c r="E4" s="1970"/>
      <c r="F4" s="1970"/>
      <c r="G4" s="1970"/>
      <c r="H4" s="1970"/>
      <c r="I4" s="2797"/>
      <c r="J4" s="1970"/>
      <c r="K4" s="1970"/>
      <c r="L4" s="1970"/>
      <c r="M4" s="1970"/>
      <c r="N4" s="2798"/>
    </row>
    <row r="5" spans="1:109" s="1898" customFormat="1" ht="51" customHeight="1" thickBot="1" x14ac:dyDescent="0.25">
      <c r="A5" s="3764" t="s">
        <v>387</v>
      </c>
      <c r="B5" s="3765"/>
      <c r="C5" s="3765"/>
      <c r="D5" s="3765"/>
      <c r="E5" s="3765"/>
      <c r="F5" s="3765"/>
      <c r="G5" s="3765"/>
      <c r="H5" s="3765"/>
      <c r="I5" s="3766"/>
      <c r="J5" s="3766"/>
      <c r="K5" s="3766"/>
      <c r="L5" s="3766"/>
      <c r="M5" s="3766"/>
      <c r="N5" s="3767"/>
      <c r="O5" s="1450"/>
      <c r="P5" s="1897"/>
      <c r="Q5" s="1897"/>
      <c r="R5" s="1897"/>
      <c r="S5" s="1897"/>
      <c r="T5" s="1897"/>
      <c r="U5" s="1897"/>
      <c r="V5" s="1897"/>
      <c r="W5" s="1897"/>
      <c r="X5" s="1897"/>
      <c r="Y5" s="1897"/>
      <c r="Z5" s="1897"/>
      <c r="AA5" s="1897"/>
      <c r="AB5" s="1897"/>
      <c r="AC5" s="1897"/>
      <c r="AD5" s="1897"/>
      <c r="AE5" s="1897"/>
      <c r="AF5" s="1897"/>
      <c r="AG5" s="1897"/>
      <c r="AH5" s="1897"/>
      <c r="AI5" s="1897"/>
      <c r="AJ5" s="1897"/>
      <c r="AK5" s="1897"/>
      <c r="AL5" s="1897"/>
      <c r="AM5" s="1897"/>
      <c r="AN5" s="1897"/>
      <c r="AO5" s="1897"/>
      <c r="AP5" s="1897"/>
      <c r="AQ5" s="1897"/>
      <c r="AR5" s="1897"/>
      <c r="AS5" s="1897"/>
      <c r="AT5" s="1897"/>
      <c r="AU5" s="1897"/>
      <c r="AV5" s="1897"/>
      <c r="AW5" s="1897"/>
      <c r="AX5" s="1897"/>
      <c r="AY5" s="1897"/>
      <c r="AZ5" s="1897"/>
      <c r="BA5" s="1897"/>
      <c r="BB5" s="1897"/>
      <c r="BC5" s="1897"/>
      <c r="BD5" s="1897"/>
      <c r="BE5" s="1897"/>
      <c r="BF5" s="1897"/>
      <c r="BG5" s="1897"/>
      <c r="BH5" s="1897"/>
      <c r="BI5" s="1897"/>
      <c r="BJ5" s="1897"/>
      <c r="BK5" s="1897"/>
      <c r="BL5" s="1897"/>
      <c r="BM5" s="1897"/>
      <c r="BN5" s="1897"/>
      <c r="BO5" s="1897"/>
      <c r="BP5" s="1897"/>
      <c r="BQ5" s="1897"/>
      <c r="BR5" s="1897"/>
      <c r="BS5" s="1897"/>
      <c r="BT5" s="1897"/>
      <c r="BU5" s="1897"/>
      <c r="BV5" s="1897"/>
      <c r="BW5" s="1897"/>
      <c r="BX5" s="1897"/>
      <c r="BY5" s="1897"/>
      <c r="BZ5" s="1897"/>
      <c r="CA5" s="1897"/>
      <c r="CB5" s="1897"/>
      <c r="CC5" s="1897"/>
      <c r="CD5" s="1897"/>
      <c r="CE5" s="1897"/>
      <c r="CF5" s="1897"/>
      <c r="CG5" s="1897"/>
      <c r="CH5" s="1897"/>
      <c r="CI5" s="1897"/>
      <c r="CJ5" s="1897"/>
      <c r="CK5" s="1897"/>
      <c r="CL5" s="1897"/>
      <c r="CM5" s="1897"/>
      <c r="CN5" s="1897"/>
      <c r="CO5" s="1897"/>
      <c r="CP5" s="1897"/>
      <c r="CQ5" s="1897"/>
      <c r="CR5" s="1897"/>
      <c r="CS5" s="1897"/>
      <c r="CT5" s="1897"/>
      <c r="CU5" s="1897"/>
      <c r="CV5" s="1897"/>
      <c r="CW5" s="1897"/>
      <c r="CX5" s="1897"/>
      <c r="CY5" s="1897"/>
      <c r="CZ5" s="1897"/>
      <c r="DA5" s="1897"/>
      <c r="DB5" s="1897"/>
      <c r="DC5" s="1897"/>
      <c r="DD5" s="1897"/>
      <c r="DE5" s="1897"/>
    </row>
    <row r="6" spans="1:109" s="24" customFormat="1" ht="41.25" customHeight="1" x14ac:dyDescent="0.2">
      <c r="A6" s="3751" t="s">
        <v>24</v>
      </c>
      <c r="B6" s="3754" t="s">
        <v>25</v>
      </c>
      <c r="C6" s="3367" t="s">
        <v>26</v>
      </c>
      <c r="D6" s="3026" t="s">
        <v>356</v>
      </c>
      <c r="E6" s="3027"/>
      <c r="F6" s="3027"/>
      <c r="G6" s="3027"/>
      <c r="H6" s="3028"/>
      <c r="I6" s="3026" t="s">
        <v>351</v>
      </c>
      <c r="J6" s="3027"/>
      <c r="K6" s="3027"/>
      <c r="L6" s="3262"/>
      <c r="M6" s="591"/>
      <c r="N6" s="3346" t="s">
        <v>27</v>
      </c>
    </row>
    <row r="7" spans="1:109" s="24" customFormat="1" ht="28.5" customHeight="1" x14ac:dyDescent="0.2">
      <c r="A7" s="3752"/>
      <c r="B7" s="3755"/>
      <c r="C7" s="3368"/>
      <c r="D7" s="3031" t="s">
        <v>0</v>
      </c>
      <c r="E7" s="3072" t="s">
        <v>360</v>
      </c>
      <c r="F7" s="3072" t="s">
        <v>361</v>
      </c>
      <c r="G7" s="3029" t="s">
        <v>257</v>
      </c>
      <c r="H7" s="3030"/>
      <c r="I7" s="3235" t="s">
        <v>350</v>
      </c>
      <c r="J7" s="3259" t="s">
        <v>300</v>
      </c>
      <c r="K7" s="3069" t="s">
        <v>357</v>
      </c>
      <c r="L7" s="3225"/>
      <c r="M7" s="592"/>
      <c r="N7" s="3347"/>
    </row>
    <row r="8" spans="1:109" s="24" customFormat="1" ht="48.75" customHeight="1" x14ac:dyDescent="0.2">
      <c r="A8" s="3768"/>
      <c r="B8" s="3770"/>
      <c r="C8" s="3214"/>
      <c r="D8" s="3032"/>
      <c r="E8" s="3073"/>
      <c r="F8" s="3073"/>
      <c r="G8" s="3059" t="s">
        <v>349</v>
      </c>
      <c r="H8" s="3061" t="s">
        <v>355</v>
      </c>
      <c r="I8" s="3236"/>
      <c r="J8" s="3260"/>
      <c r="K8" s="3078" t="s">
        <v>359</v>
      </c>
      <c r="L8" s="3239" t="s">
        <v>301</v>
      </c>
      <c r="M8" s="3241" t="s">
        <v>302</v>
      </c>
      <c r="N8" s="3347"/>
    </row>
    <row r="9" spans="1:109" s="24" customFormat="1" ht="54" customHeight="1" thickBot="1" x14ac:dyDescent="0.25">
      <c r="A9" s="3769"/>
      <c r="B9" s="3771"/>
      <c r="C9" s="3153"/>
      <c r="D9" s="3243"/>
      <c r="E9" s="3244"/>
      <c r="F9" s="3244"/>
      <c r="G9" s="3274"/>
      <c r="H9" s="3275"/>
      <c r="I9" s="3237"/>
      <c r="J9" s="3261"/>
      <c r="K9" s="3238"/>
      <c r="L9" s="3240"/>
      <c r="M9" s="3242"/>
      <c r="N9" s="3348"/>
    </row>
    <row r="10" spans="1:109" s="24" customFormat="1" ht="13.5" customHeight="1" thickBot="1" x14ac:dyDescent="0.25">
      <c r="A10" s="3684">
        <v>1</v>
      </c>
      <c r="B10" s="3685"/>
      <c r="C10" s="2799">
        <v>2</v>
      </c>
      <c r="D10" s="1754">
        <v>3</v>
      </c>
      <c r="E10" s="1755"/>
      <c r="F10" s="1755"/>
      <c r="G10" s="1755">
        <v>4</v>
      </c>
      <c r="H10" s="1756">
        <v>5</v>
      </c>
      <c r="I10" s="1754">
        <v>6</v>
      </c>
      <c r="J10" s="1988">
        <v>7</v>
      </c>
      <c r="K10" s="1988">
        <v>8</v>
      </c>
      <c r="L10" s="1989">
        <v>9</v>
      </c>
      <c r="M10" s="1989">
        <v>10</v>
      </c>
      <c r="N10" s="1758">
        <v>10</v>
      </c>
    </row>
    <row r="11" spans="1:109" s="1844" customFormat="1" ht="19.5" customHeight="1" thickBot="1" x14ac:dyDescent="0.25">
      <c r="A11" s="2944"/>
      <c r="B11" s="2945" t="s">
        <v>162</v>
      </c>
      <c r="C11" s="601"/>
      <c r="D11" s="602">
        <f t="shared" ref="D11:I11" si="0">D12+D13</f>
        <v>2659787</v>
      </c>
      <c r="E11" s="603">
        <f t="shared" si="0"/>
        <v>173720</v>
      </c>
      <c r="F11" s="603">
        <f t="shared" si="0"/>
        <v>313029</v>
      </c>
      <c r="G11" s="603">
        <f>G12+G13</f>
        <v>1789388</v>
      </c>
      <c r="H11" s="606">
        <f t="shared" si="0"/>
        <v>383650</v>
      </c>
      <c r="I11" s="602">
        <f t="shared" si="0"/>
        <v>542690</v>
      </c>
      <c r="J11" s="2427">
        <f>I11/D11*100</f>
        <v>20.403513514428035</v>
      </c>
      <c r="K11" s="603">
        <f>K12+K13</f>
        <v>64204</v>
      </c>
      <c r="L11" s="2427">
        <f>K11/G11*100</f>
        <v>3.5880423921474827</v>
      </c>
      <c r="M11" s="2946">
        <f>M12+M13</f>
        <v>-490129</v>
      </c>
      <c r="N11" s="2947"/>
      <c r="O11" s="1983"/>
    </row>
    <row r="12" spans="1:109" s="24" customFormat="1" ht="17.25" customHeight="1" thickTop="1" x14ac:dyDescent="0.2">
      <c r="A12" s="2948"/>
      <c r="B12" s="2949" t="s">
        <v>163</v>
      </c>
      <c r="C12" s="2770"/>
      <c r="D12" s="2950">
        <f>D23+D32</f>
        <v>2561787</v>
      </c>
      <c r="E12" s="1886">
        <f t="shared" ref="E12:K12" si="1">E23+E32</f>
        <v>173720</v>
      </c>
      <c r="F12" s="2951">
        <f t="shared" si="1"/>
        <v>313029</v>
      </c>
      <c r="G12" s="1886">
        <f t="shared" si="1"/>
        <v>1691388</v>
      </c>
      <c r="H12" s="2951">
        <f t="shared" si="1"/>
        <v>383650</v>
      </c>
      <c r="I12" s="2950">
        <f t="shared" si="1"/>
        <v>542690</v>
      </c>
      <c r="J12" s="2803">
        <f>I12/D12*100</f>
        <v>21.18404067160931</v>
      </c>
      <c r="K12" s="1886">
        <f t="shared" si="1"/>
        <v>64204</v>
      </c>
      <c r="L12" s="2430">
        <f>K12/G12*100</f>
        <v>3.7959356457536648</v>
      </c>
      <c r="M12" s="2952">
        <f>M23</f>
        <v>-392129</v>
      </c>
      <c r="N12" s="2953"/>
    </row>
    <row r="13" spans="1:109" s="24" customFormat="1" ht="15.75" customHeight="1" x14ac:dyDescent="0.2">
      <c r="A13" s="2954"/>
      <c r="B13" s="2955" t="s">
        <v>164</v>
      </c>
      <c r="C13" s="624"/>
      <c r="D13" s="2956">
        <f>D41</f>
        <v>98000</v>
      </c>
      <c r="E13" s="1770">
        <f t="shared" ref="E13:H13" si="2">E41</f>
        <v>0</v>
      </c>
      <c r="F13" s="2957">
        <f t="shared" si="2"/>
        <v>0</v>
      </c>
      <c r="G13" s="1770">
        <f t="shared" si="2"/>
        <v>98000</v>
      </c>
      <c r="H13" s="2957">
        <f t="shared" si="2"/>
        <v>0</v>
      </c>
      <c r="I13" s="2956">
        <f>I41</f>
        <v>0</v>
      </c>
      <c r="J13" s="2958">
        <v>0</v>
      </c>
      <c r="K13" s="1770">
        <f>K41</f>
        <v>0</v>
      </c>
      <c r="L13" s="2959">
        <v>0</v>
      </c>
      <c r="M13" s="2960">
        <f>M41</f>
        <v>-98000</v>
      </c>
      <c r="N13" s="2961"/>
    </row>
    <row r="14" spans="1:109" ht="18.75" customHeight="1" x14ac:dyDescent="0.2">
      <c r="A14" s="3763"/>
      <c r="B14" s="2962" t="s">
        <v>2</v>
      </c>
      <c r="C14" s="1830"/>
      <c r="D14" s="2829">
        <f t="shared" ref="D14:K14" si="3">D15+D17</f>
        <v>2659787</v>
      </c>
      <c r="E14" s="2963">
        <f t="shared" si="3"/>
        <v>173720</v>
      </c>
      <c r="F14" s="2963">
        <f t="shared" si="3"/>
        <v>313029</v>
      </c>
      <c r="G14" s="2963">
        <f t="shared" si="3"/>
        <v>1789388</v>
      </c>
      <c r="H14" s="2964">
        <f t="shared" si="3"/>
        <v>383650</v>
      </c>
      <c r="I14" s="2965">
        <f t="shared" si="3"/>
        <v>542690</v>
      </c>
      <c r="J14" s="2966">
        <f>I14/D14*100</f>
        <v>20.403513514428035</v>
      </c>
      <c r="K14" s="2967">
        <f t="shared" si="3"/>
        <v>64204</v>
      </c>
      <c r="L14" s="2966">
        <f>K14/G14*100</f>
        <v>3.5880423921474827</v>
      </c>
      <c r="M14" s="2963">
        <f t="shared" ref="M14:M21" si="4">+K14-G14</f>
        <v>-1725184</v>
      </c>
      <c r="N14" s="3726" t="s">
        <v>78</v>
      </c>
      <c r="O14" s="1983"/>
    </row>
    <row r="15" spans="1:109" ht="15" customHeight="1" x14ac:dyDescent="0.2">
      <c r="A15" s="3298"/>
      <c r="B15" s="2968" t="s">
        <v>17</v>
      </c>
      <c r="C15" s="3728" t="s">
        <v>78</v>
      </c>
      <c r="D15" s="2813">
        <f t="shared" ref="D15:K15" si="5">D16</f>
        <v>398968</v>
      </c>
      <c r="E15" s="2969">
        <f t="shared" si="5"/>
        <v>26059</v>
      </c>
      <c r="F15" s="2969">
        <f t="shared" si="5"/>
        <v>46954</v>
      </c>
      <c r="G15" s="2969">
        <f t="shared" si="5"/>
        <v>268285</v>
      </c>
      <c r="H15" s="2970">
        <f t="shared" si="5"/>
        <v>57670</v>
      </c>
      <c r="I15" s="2971">
        <f t="shared" si="5"/>
        <v>81404</v>
      </c>
      <c r="J15" s="2972">
        <f t="shared" ref="J15:J21" si="6">I15/D15*100</f>
        <v>20.40364139479858</v>
      </c>
      <c r="K15" s="2973">
        <f t="shared" si="5"/>
        <v>9630</v>
      </c>
      <c r="L15" s="2972">
        <f t="shared" ref="L15:L21" si="7">K15/G15*100</f>
        <v>3.5894664256294608</v>
      </c>
      <c r="M15" s="2969">
        <f t="shared" si="4"/>
        <v>-258655</v>
      </c>
      <c r="N15" s="3726"/>
      <c r="O15" s="1983"/>
    </row>
    <row r="16" spans="1:109" ht="15" customHeight="1" x14ac:dyDescent="0.2">
      <c r="A16" s="3298"/>
      <c r="B16" s="2974" t="s">
        <v>4</v>
      </c>
      <c r="C16" s="3729"/>
      <c r="D16" s="2825">
        <f>D25+D34+D43</f>
        <v>398968</v>
      </c>
      <c r="E16" s="1264">
        <f t="shared" ref="E16:I16" si="8">E25+E34+E43</f>
        <v>26059</v>
      </c>
      <c r="F16" s="1264">
        <f t="shared" si="8"/>
        <v>46954</v>
      </c>
      <c r="G16" s="1264">
        <f t="shared" si="8"/>
        <v>268285</v>
      </c>
      <c r="H16" s="2827">
        <f t="shared" si="8"/>
        <v>57670</v>
      </c>
      <c r="I16" s="2462">
        <f t="shared" si="8"/>
        <v>81404</v>
      </c>
      <c r="J16" s="2975">
        <f t="shared" si="6"/>
        <v>20.40364139479858</v>
      </c>
      <c r="K16" s="2454">
        <f>K25+K34+K43</f>
        <v>9630</v>
      </c>
      <c r="L16" s="2975">
        <f t="shared" si="7"/>
        <v>3.5894664256294608</v>
      </c>
      <c r="M16" s="1259">
        <f t="shared" si="4"/>
        <v>-258655</v>
      </c>
      <c r="N16" s="3726"/>
      <c r="O16" s="1983"/>
    </row>
    <row r="17" spans="1:15" ht="14.25" customHeight="1" x14ac:dyDescent="0.2">
      <c r="A17" s="3298"/>
      <c r="B17" s="2976" t="s">
        <v>12</v>
      </c>
      <c r="C17" s="3729"/>
      <c r="D17" s="2819">
        <f t="shared" ref="D17:K17" si="9">D18</f>
        <v>2260819</v>
      </c>
      <c r="E17" s="2823">
        <f t="shared" si="9"/>
        <v>147661</v>
      </c>
      <c r="F17" s="2823">
        <f t="shared" si="9"/>
        <v>266075</v>
      </c>
      <c r="G17" s="2823">
        <f t="shared" si="9"/>
        <v>1521103</v>
      </c>
      <c r="H17" s="2977">
        <f t="shared" si="9"/>
        <v>325980</v>
      </c>
      <c r="I17" s="2978">
        <f t="shared" si="9"/>
        <v>461286</v>
      </c>
      <c r="J17" s="2821">
        <f t="shared" si="6"/>
        <v>20.403490947307148</v>
      </c>
      <c r="K17" s="2820">
        <f t="shared" si="9"/>
        <v>54574</v>
      </c>
      <c r="L17" s="2821">
        <f t="shared" si="7"/>
        <v>3.5877912278129753</v>
      </c>
      <c r="M17" s="2823">
        <f t="shared" si="4"/>
        <v>-1466529</v>
      </c>
      <c r="N17" s="3726"/>
      <c r="O17" s="1983"/>
    </row>
    <row r="18" spans="1:15" ht="13.5" customHeight="1" x14ac:dyDescent="0.2">
      <c r="A18" s="3298"/>
      <c r="B18" s="2979" t="s">
        <v>14</v>
      </c>
      <c r="C18" s="3745"/>
      <c r="D18" s="2825">
        <f>D27+D36+D45</f>
        <v>2260819</v>
      </c>
      <c r="E18" s="1264">
        <f t="shared" ref="E18:I18" si="10">E27+E36+E45</f>
        <v>147661</v>
      </c>
      <c r="F18" s="1264">
        <f t="shared" si="10"/>
        <v>266075</v>
      </c>
      <c r="G18" s="1264">
        <f t="shared" si="10"/>
        <v>1521103</v>
      </c>
      <c r="H18" s="2827">
        <f t="shared" si="10"/>
        <v>325980</v>
      </c>
      <c r="I18" s="2462">
        <f t="shared" si="10"/>
        <v>461286</v>
      </c>
      <c r="J18" s="2980">
        <f t="shared" si="6"/>
        <v>20.403490947307148</v>
      </c>
      <c r="K18" s="2826">
        <f>K27+K36+K45</f>
        <v>54574</v>
      </c>
      <c r="L18" s="2980">
        <f t="shared" si="7"/>
        <v>3.5877912278129753</v>
      </c>
      <c r="M18" s="1264">
        <f t="shared" si="4"/>
        <v>-1466529</v>
      </c>
      <c r="N18" s="3726"/>
      <c r="O18" s="1983"/>
    </row>
    <row r="19" spans="1:15" ht="16.5" customHeight="1" x14ac:dyDescent="0.2">
      <c r="A19" s="3298"/>
      <c r="B19" s="394" t="s">
        <v>16</v>
      </c>
      <c r="C19" s="25"/>
      <c r="D19" s="2829">
        <f t="shared" ref="D19:K20" si="11">D20</f>
        <v>2260819</v>
      </c>
      <c r="E19" s="2963">
        <f t="shared" si="11"/>
        <v>0</v>
      </c>
      <c r="F19" s="2963">
        <f t="shared" si="11"/>
        <v>725535</v>
      </c>
      <c r="G19" s="2963">
        <f t="shared" si="11"/>
        <v>829295</v>
      </c>
      <c r="H19" s="2964">
        <f t="shared" si="11"/>
        <v>705989</v>
      </c>
      <c r="I19" s="1205">
        <f t="shared" si="11"/>
        <v>706765</v>
      </c>
      <c r="J19" s="2966">
        <f>I19/D19*100</f>
        <v>31.261458789934089</v>
      </c>
      <c r="K19" s="2981">
        <f t="shared" si="11"/>
        <v>0</v>
      </c>
      <c r="L19" s="2966">
        <f>K19/G19*100</f>
        <v>0</v>
      </c>
      <c r="M19" s="2963">
        <f t="shared" si="4"/>
        <v>-829295</v>
      </c>
      <c r="N19" s="3726"/>
      <c r="O19" s="1983"/>
    </row>
    <row r="20" spans="1:15" ht="15" customHeight="1" x14ac:dyDescent="0.2">
      <c r="A20" s="3298"/>
      <c r="B20" s="2982" t="s">
        <v>12</v>
      </c>
      <c r="C20" s="3746" t="s">
        <v>78</v>
      </c>
      <c r="D20" s="2831">
        <f t="shared" si="11"/>
        <v>2260819</v>
      </c>
      <c r="E20" s="2983">
        <f t="shared" si="11"/>
        <v>0</v>
      </c>
      <c r="F20" s="2983">
        <f t="shared" si="11"/>
        <v>725535</v>
      </c>
      <c r="G20" s="2983">
        <f t="shared" si="11"/>
        <v>829295</v>
      </c>
      <c r="H20" s="2984">
        <f t="shared" si="11"/>
        <v>705989</v>
      </c>
      <c r="I20" s="2978">
        <f t="shared" si="11"/>
        <v>706765</v>
      </c>
      <c r="J20" s="2972">
        <f t="shared" si="6"/>
        <v>31.261458789934089</v>
      </c>
      <c r="K20" s="2985">
        <f t="shared" si="11"/>
        <v>0</v>
      </c>
      <c r="L20" s="2972">
        <f t="shared" si="7"/>
        <v>0</v>
      </c>
      <c r="M20" s="2983">
        <f t="shared" si="4"/>
        <v>-829295</v>
      </c>
      <c r="N20" s="3726"/>
      <c r="O20" s="1983"/>
    </row>
    <row r="21" spans="1:15" ht="15" customHeight="1" thickBot="1" x14ac:dyDescent="0.25">
      <c r="A21" s="3299"/>
      <c r="B21" s="2979" t="s">
        <v>14</v>
      </c>
      <c r="C21" s="3775"/>
      <c r="D21" s="2986">
        <f>D30+D39+D48</f>
        <v>2260819</v>
      </c>
      <c r="E21" s="1279">
        <f t="shared" ref="E21:I21" si="12">E30+E39+E48</f>
        <v>0</v>
      </c>
      <c r="F21" s="1279">
        <f t="shared" si="12"/>
        <v>725535</v>
      </c>
      <c r="G21" s="1279">
        <f t="shared" si="12"/>
        <v>829295</v>
      </c>
      <c r="H21" s="1280">
        <f t="shared" si="12"/>
        <v>705989</v>
      </c>
      <c r="I21" s="1278">
        <f t="shared" si="12"/>
        <v>706765</v>
      </c>
      <c r="J21" s="2975">
        <f t="shared" si="6"/>
        <v>31.261458789934089</v>
      </c>
      <c r="K21" s="2826">
        <f>K30+K39+K48</f>
        <v>0</v>
      </c>
      <c r="L21" s="2975">
        <f t="shared" si="7"/>
        <v>0</v>
      </c>
      <c r="M21" s="1284">
        <f t="shared" si="4"/>
        <v>-829295</v>
      </c>
      <c r="N21" s="3727"/>
      <c r="O21" s="1983"/>
    </row>
    <row r="22" spans="1:15" ht="45" customHeight="1" x14ac:dyDescent="0.2">
      <c r="A22" s="3715" t="s">
        <v>32</v>
      </c>
      <c r="B22" s="2987" t="s">
        <v>283</v>
      </c>
      <c r="C22" s="2838" t="s">
        <v>171</v>
      </c>
      <c r="D22" s="2841"/>
      <c r="E22" s="2839"/>
      <c r="F22" s="2839"/>
      <c r="G22" s="2839"/>
      <c r="H22" s="2845"/>
      <c r="I22" s="2841"/>
      <c r="J22" s="1815"/>
      <c r="K22" s="2842"/>
      <c r="L22" s="1815"/>
      <c r="M22" s="2988"/>
      <c r="N22" s="3712" t="s">
        <v>370</v>
      </c>
      <c r="O22" s="1983"/>
    </row>
    <row r="23" spans="1:15" ht="14.25" customHeight="1" x14ac:dyDescent="0.2">
      <c r="A23" s="3735"/>
      <c r="B23" s="2989" t="s">
        <v>2</v>
      </c>
      <c r="C23" s="25"/>
      <c r="D23" s="233">
        <f t="shared" ref="D23:I23" si="13">+D24+D26</f>
        <v>941987</v>
      </c>
      <c r="E23" s="234">
        <f>+E24+E26</f>
        <v>173720</v>
      </c>
      <c r="F23" s="234">
        <f t="shared" si="13"/>
        <v>313029</v>
      </c>
      <c r="G23" s="234">
        <f t="shared" si="13"/>
        <v>455238</v>
      </c>
      <c r="H23" s="235">
        <f t="shared" si="13"/>
        <v>0</v>
      </c>
      <c r="I23" s="233">
        <f t="shared" si="13"/>
        <v>541595</v>
      </c>
      <c r="J23" s="2990">
        <f>I23/D23*100</f>
        <v>57.49495481360146</v>
      </c>
      <c r="K23" s="234">
        <f>K24+K26</f>
        <v>63109</v>
      </c>
      <c r="L23" s="2990">
        <f>K23/G23*100</f>
        <v>13.862858548715176</v>
      </c>
      <c r="M23" s="744">
        <f t="shared" ref="M23:M30" si="14">+K23-G23</f>
        <v>-392129</v>
      </c>
      <c r="N23" s="3713"/>
      <c r="O23" s="1983"/>
    </row>
    <row r="24" spans="1:15" ht="14.25" customHeight="1" x14ac:dyDescent="0.2">
      <c r="A24" s="3735"/>
      <c r="B24" s="2991" t="s">
        <v>17</v>
      </c>
      <c r="C24" s="3100" t="s">
        <v>201</v>
      </c>
      <c r="D24" s="277">
        <f t="shared" ref="D24:I24" si="15">+D25</f>
        <v>141298</v>
      </c>
      <c r="E24" s="278">
        <f t="shared" si="15"/>
        <v>26059</v>
      </c>
      <c r="F24" s="842">
        <f t="shared" si="15"/>
        <v>46954</v>
      </c>
      <c r="G24" s="278">
        <f t="shared" si="15"/>
        <v>68285</v>
      </c>
      <c r="H24" s="333">
        <f t="shared" si="15"/>
        <v>0</v>
      </c>
      <c r="I24" s="277">
        <f t="shared" si="15"/>
        <v>81240</v>
      </c>
      <c r="J24" s="1820">
        <f t="shared" ref="J24:J30" si="16">I24/D24*100</f>
        <v>57.495505951959693</v>
      </c>
      <c r="K24" s="1821">
        <f>K25</f>
        <v>9466</v>
      </c>
      <c r="L24" s="1820">
        <f t="shared" ref="L24:L30" si="17">K24/G24*100</f>
        <v>13.862488101339974</v>
      </c>
      <c r="M24" s="1181">
        <f t="shared" si="14"/>
        <v>-58819</v>
      </c>
      <c r="N24" s="3713"/>
      <c r="O24" s="1983"/>
    </row>
    <row r="25" spans="1:15" ht="13.5" customHeight="1" x14ac:dyDescent="0.2">
      <c r="A25" s="3735"/>
      <c r="B25" s="367" t="s">
        <v>4</v>
      </c>
      <c r="C25" s="3101"/>
      <c r="D25" s="244">
        <f>+E25+F25+G25+H25</f>
        <v>141298</v>
      </c>
      <c r="E25" s="779">
        <f>1073+24986</f>
        <v>26059</v>
      </c>
      <c r="F25" s="779">
        <v>46954</v>
      </c>
      <c r="G25" s="779">
        <v>68285</v>
      </c>
      <c r="H25" s="1214">
        <v>0</v>
      </c>
      <c r="I25" s="1587">
        <f>K25+E25+F25-1239</f>
        <v>81240</v>
      </c>
      <c r="J25" s="780">
        <f t="shared" si="16"/>
        <v>57.495505951959693</v>
      </c>
      <c r="K25" s="779">
        <v>9466</v>
      </c>
      <c r="L25" s="780">
        <f t="shared" si="17"/>
        <v>13.862488101339974</v>
      </c>
      <c r="M25" s="2992">
        <f t="shared" si="14"/>
        <v>-58819</v>
      </c>
      <c r="N25" s="3713"/>
      <c r="O25" s="1983"/>
    </row>
    <row r="26" spans="1:15" ht="14.25" customHeight="1" x14ac:dyDescent="0.2">
      <c r="A26" s="3735"/>
      <c r="B26" s="2993" t="s">
        <v>12</v>
      </c>
      <c r="C26" s="3101"/>
      <c r="D26" s="254">
        <f t="shared" ref="D26:I26" si="18">+D27</f>
        <v>800689</v>
      </c>
      <c r="E26" s="813">
        <f t="shared" si="18"/>
        <v>147661</v>
      </c>
      <c r="F26" s="1087">
        <f t="shared" si="18"/>
        <v>266075</v>
      </c>
      <c r="G26" s="813">
        <f t="shared" si="18"/>
        <v>386953</v>
      </c>
      <c r="H26" s="866">
        <f t="shared" si="18"/>
        <v>0</v>
      </c>
      <c r="I26" s="254">
        <f t="shared" si="18"/>
        <v>460355</v>
      </c>
      <c r="J26" s="144">
        <f t="shared" si="16"/>
        <v>57.494857553931681</v>
      </c>
      <c r="K26" s="1087">
        <f>K27</f>
        <v>53643</v>
      </c>
      <c r="L26" s="144">
        <f t="shared" si="17"/>
        <v>13.862923920992989</v>
      </c>
      <c r="M26" s="1343">
        <f t="shared" si="14"/>
        <v>-333310</v>
      </c>
      <c r="N26" s="3713"/>
      <c r="O26" s="1983"/>
    </row>
    <row r="27" spans="1:15" ht="13.5" customHeight="1" x14ac:dyDescent="0.2">
      <c r="A27" s="3735"/>
      <c r="B27" s="2994" t="s">
        <v>14</v>
      </c>
      <c r="C27" s="3101"/>
      <c r="D27" s="244">
        <f>+E27+F27+G27+H27</f>
        <v>800689</v>
      </c>
      <c r="E27" s="779">
        <f>6077+141584</f>
        <v>147661</v>
      </c>
      <c r="F27" s="779">
        <v>266075</v>
      </c>
      <c r="G27" s="779">
        <v>386953</v>
      </c>
      <c r="H27" s="1214">
        <v>0</v>
      </c>
      <c r="I27" s="1587">
        <f>K27+E27+F27-7024</f>
        <v>460355</v>
      </c>
      <c r="J27" s="780">
        <f t="shared" si="16"/>
        <v>57.494857553931681</v>
      </c>
      <c r="K27" s="779">
        <v>53643</v>
      </c>
      <c r="L27" s="780">
        <f t="shared" si="17"/>
        <v>13.862923920992989</v>
      </c>
      <c r="M27" s="2992">
        <f t="shared" si="14"/>
        <v>-333310</v>
      </c>
      <c r="N27" s="3713"/>
      <c r="O27" s="1983"/>
    </row>
    <row r="28" spans="1:15" ht="18.75" customHeight="1" x14ac:dyDescent="0.2">
      <c r="A28" s="3735"/>
      <c r="B28" s="2989" t="s">
        <v>16</v>
      </c>
      <c r="C28" s="25"/>
      <c r="D28" s="233">
        <f>+D29</f>
        <v>800689</v>
      </c>
      <c r="E28" s="287">
        <f t="shared" ref="E28:H29" si="19">+E29</f>
        <v>0</v>
      </c>
      <c r="F28" s="234">
        <f t="shared" si="19"/>
        <v>154605</v>
      </c>
      <c r="G28" s="234">
        <f t="shared" si="19"/>
        <v>266075</v>
      </c>
      <c r="H28" s="867">
        <f t="shared" si="19"/>
        <v>380009</v>
      </c>
      <c r="I28" s="233">
        <f>I29</f>
        <v>135835</v>
      </c>
      <c r="J28" s="2990">
        <f t="shared" si="16"/>
        <v>16.964764096921524</v>
      </c>
      <c r="K28" s="234">
        <f>K29</f>
        <v>0</v>
      </c>
      <c r="L28" s="2990">
        <f t="shared" si="17"/>
        <v>0</v>
      </c>
      <c r="M28" s="744">
        <f t="shared" si="14"/>
        <v>-266075</v>
      </c>
      <c r="N28" s="3713"/>
      <c r="O28" s="1983"/>
    </row>
    <row r="29" spans="1:15" ht="12.75" customHeight="1" x14ac:dyDescent="0.2">
      <c r="A29" s="3735"/>
      <c r="B29" s="2993" t="s">
        <v>12</v>
      </c>
      <c r="C29" s="3208" t="s">
        <v>202</v>
      </c>
      <c r="D29" s="254">
        <f>+D30</f>
        <v>800689</v>
      </c>
      <c r="E29" s="257">
        <f t="shared" si="19"/>
        <v>0</v>
      </c>
      <c r="F29" s="255">
        <f t="shared" si="19"/>
        <v>154605</v>
      </c>
      <c r="G29" s="255">
        <f t="shared" si="19"/>
        <v>266075</v>
      </c>
      <c r="H29" s="868">
        <f t="shared" si="19"/>
        <v>380009</v>
      </c>
      <c r="I29" s="395">
        <f>I30</f>
        <v>135835</v>
      </c>
      <c r="J29" s="1859">
        <f t="shared" si="16"/>
        <v>16.964764096921524</v>
      </c>
      <c r="K29" s="1821">
        <f>K30</f>
        <v>0</v>
      </c>
      <c r="L29" s="1859">
        <f t="shared" si="17"/>
        <v>0</v>
      </c>
      <c r="M29" s="2995">
        <f t="shared" si="14"/>
        <v>-266075</v>
      </c>
      <c r="N29" s="3713"/>
      <c r="O29" s="1983"/>
    </row>
    <row r="30" spans="1:15" ht="15.75" customHeight="1" thickBot="1" x14ac:dyDescent="0.25">
      <c r="A30" s="3736"/>
      <c r="B30" s="2996" t="s">
        <v>14</v>
      </c>
      <c r="C30" s="3104"/>
      <c r="D30" s="262">
        <f>+E30+F30+G30+H30</f>
        <v>800689</v>
      </c>
      <c r="E30" s="818">
        <v>0</v>
      </c>
      <c r="F30" s="263">
        <v>154605</v>
      </c>
      <c r="G30" s="263">
        <v>266075</v>
      </c>
      <c r="H30" s="2877">
        <v>380009</v>
      </c>
      <c r="I30" s="1613">
        <f>K30+E30+F30-18770</f>
        <v>135835</v>
      </c>
      <c r="J30" s="801">
        <f t="shared" si="16"/>
        <v>16.964764096921524</v>
      </c>
      <c r="K30" s="263">
        <v>0</v>
      </c>
      <c r="L30" s="801">
        <f t="shared" si="17"/>
        <v>0</v>
      </c>
      <c r="M30" s="2935">
        <f t="shared" si="14"/>
        <v>-266075</v>
      </c>
      <c r="N30" s="3714"/>
      <c r="O30" s="1983"/>
    </row>
    <row r="31" spans="1:15" ht="42" customHeight="1" x14ac:dyDescent="0.2">
      <c r="A31" s="3757" t="s">
        <v>35</v>
      </c>
      <c r="B31" s="2997" t="s">
        <v>311</v>
      </c>
      <c r="C31" s="1807" t="s">
        <v>304</v>
      </c>
      <c r="D31" s="2841"/>
      <c r="E31" s="2839"/>
      <c r="F31" s="2839"/>
      <c r="G31" s="2839"/>
      <c r="H31" s="2845"/>
      <c r="I31" s="2841"/>
      <c r="J31" s="1815"/>
      <c r="K31" s="2842"/>
      <c r="L31" s="1815"/>
      <c r="M31" s="2988"/>
      <c r="N31" s="3772" t="s">
        <v>316</v>
      </c>
    </row>
    <row r="32" spans="1:15" ht="15" customHeight="1" x14ac:dyDescent="0.2">
      <c r="A32" s="3758"/>
      <c r="B32" s="2998" t="s">
        <v>2</v>
      </c>
      <c r="C32" s="25"/>
      <c r="D32" s="233">
        <f t="shared" ref="D32" si="20">+D33+D35</f>
        <v>1619800</v>
      </c>
      <c r="E32" s="234">
        <f>+E33+E35</f>
        <v>0</v>
      </c>
      <c r="F32" s="234">
        <f t="shared" ref="F32:I32" si="21">+F33+F35</f>
        <v>0</v>
      </c>
      <c r="G32" s="234">
        <f t="shared" si="21"/>
        <v>1236150</v>
      </c>
      <c r="H32" s="235">
        <f t="shared" si="21"/>
        <v>383650</v>
      </c>
      <c r="I32" s="233">
        <f t="shared" si="21"/>
        <v>1095</v>
      </c>
      <c r="J32" s="2990">
        <f t="shared" ref="J32:J39" si="22">I32/D32*100</f>
        <v>6.7600938387455248E-2</v>
      </c>
      <c r="K32" s="234">
        <f>K33+K35</f>
        <v>1095</v>
      </c>
      <c r="L32" s="234">
        <f>L33+L35</f>
        <v>0</v>
      </c>
      <c r="M32" s="744">
        <f t="shared" ref="M32:M39" si="23">+K32-G32</f>
        <v>-1235055</v>
      </c>
      <c r="N32" s="3773"/>
      <c r="O32" s="1750"/>
    </row>
    <row r="33" spans="1:15" ht="15.75" customHeight="1" x14ac:dyDescent="0.2">
      <c r="A33" s="3758"/>
      <c r="B33" s="2999" t="s">
        <v>17</v>
      </c>
      <c r="C33" s="3100" t="s">
        <v>312</v>
      </c>
      <c r="D33" s="277">
        <f t="shared" ref="D33:I33" si="24">+D34</f>
        <v>257670</v>
      </c>
      <c r="E33" s="278">
        <f t="shared" si="24"/>
        <v>0</v>
      </c>
      <c r="F33" s="842">
        <f t="shared" si="24"/>
        <v>0</v>
      </c>
      <c r="G33" s="278">
        <f t="shared" si="24"/>
        <v>200000</v>
      </c>
      <c r="H33" s="333">
        <f t="shared" si="24"/>
        <v>57670</v>
      </c>
      <c r="I33" s="277">
        <f t="shared" si="24"/>
        <v>164</v>
      </c>
      <c r="J33" s="1820">
        <f t="shared" si="22"/>
        <v>6.3647300811114985E-2</v>
      </c>
      <c r="K33" s="1821">
        <f>K34</f>
        <v>164</v>
      </c>
      <c r="L33" s="144">
        <v>0</v>
      </c>
      <c r="M33" s="1181">
        <f t="shared" si="23"/>
        <v>-199836</v>
      </c>
      <c r="N33" s="3773"/>
      <c r="O33" s="1750"/>
    </row>
    <row r="34" spans="1:15" ht="12.75" x14ac:dyDescent="0.2">
      <c r="A34" s="3758"/>
      <c r="B34" s="3000" t="s">
        <v>4</v>
      </c>
      <c r="C34" s="3760"/>
      <c r="D34" s="244">
        <f>+E34+F34+G34+H34</f>
        <v>257670</v>
      </c>
      <c r="E34" s="779"/>
      <c r="F34" s="779"/>
      <c r="G34" s="779">
        <v>200000</v>
      </c>
      <c r="H34" s="1214">
        <v>57670</v>
      </c>
      <c r="I34" s="1587">
        <f>K34+E34+F34</f>
        <v>164</v>
      </c>
      <c r="J34" s="780">
        <f t="shared" si="22"/>
        <v>6.3647300811114985E-2</v>
      </c>
      <c r="K34" s="779">
        <v>164</v>
      </c>
      <c r="L34" s="780">
        <v>0</v>
      </c>
      <c r="M34" s="2992">
        <f t="shared" si="23"/>
        <v>-199836</v>
      </c>
      <c r="N34" s="3773"/>
      <c r="O34" s="1750"/>
    </row>
    <row r="35" spans="1:15" ht="15" customHeight="1" x14ac:dyDescent="0.2">
      <c r="A35" s="3758"/>
      <c r="B35" s="3001" t="s">
        <v>12</v>
      </c>
      <c r="C35" s="3760"/>
      <c r="D35" s="254">
        <f t="shared" ref="D35:I35" si="25">+D36</f>
        <v>1362130</v>
      </c>
      <c r="E35" s="813">
        <f t="shared" si="25"/>
        <v>0</v>
      </c>
      <c r="F35" s="1087">
        <f t="shared" si="25"/>
        <v>0</v>
      </c>
      <c r="G35" s="813">
        <f t="shared" si="25"/>
        <v>1036150</v>
      </c>
      <c r="H35" s="866">
        <f t="shared" si="25"/>
        <v>325980</v>
      </c>
      <c r="I35" s="254">
        <f t="shared" si="25"/>
        <v>931</v>
      </c>
      <c r="J35" s="144">
        <f t="shared" si="22"/>
        <v>6.8348836014183664E-2</v>
      </c>
      <c r="K35" s="1087">
        <f>K36</f>
        <v>931</v>
      </c>
      <c r="L35" s="144">
        <v>0</v>
      </c>
      <c r="M35" s="1343">
        <f t="shared" si="23"/>
        <v>-1035219</v>
      </c>
      <c r="N35" s="3773"/>
      <c r="O35" s="1750"/>
    </row>
    <row r="36" spans="1:15" ht="12.75" x14ac:dyDescent="0.2">
      <c r="A36" s="3758"/>
      <c r="B36" s="3002" t="s">
        <v>14</v>
      </c>
      <c r="C36" s="3760"/>
      <c r="D36" s="244">
        <f>+E36+F36+G36+H36</f>
        <v>1362130</v>
      </c>
      <c r="E36" s="779"/>
      <c r="F36" s="779"/>
      <c r="G36" s="779">
        <v>1036150</v>
      </c>
      <c r="H36" s="1214">
        <v>325980</v>
      </c>
      <c r="I36" s="1587">
        <f>K36+E36+F36</f>
        <v>931</v>
      </c>
      <c r="J36" s="780">
        <f t="shared" si="22"/>
        <v>6.8348836014183664E-2</v>
      </c>
      <c r="K36" s="779">
        <v>931</v>
      </c>
      <c r="L36" s="780">
        <v>0</v>
      </c>
      <c r="M36" s="2992">
        <f t="shared" si="23"/>
        <v>-1035219</v>
      </c>
      <c r="N36" s="3773"/>
      <c r="O36" s="1750"/>
    </row>
    <row r="37" spans="1:15" ht="16.5" customHeight="1" x14ac:dyDescent="0.2">
      <c r="A37" s="3758"/>
      <c r="B37" s="2998" t="s">
        <v>16</v>
      </c>
      <c r="C37" s="25"/>
      <c r="D37" s="233">
        <f>+D38</f>
        <v>1362130</v>
      </c>
      <c r="E37" s="287">
        <f t="shared" ref="E37:H38" si="26">+E38</f>
        <v>0</v>
      </c>
      <c r="F37" s="234">
        <f t="shared" si="26"/>
        <v>472930</v>
      </c>
      <c r="G37" s="234">
        <f t="shared" si="26"/>
        <v>563220</v>
      </c>
      <c r="H37" s="867">
        <f t="shared" si="26"/>
        <v>325980</v>
      </c>
      <c r="I37" s="233">
        <f>I38</f>
        <v>472930</v>
      </c>
      <c r="J37" s="2990">
        <f t="shared" si="22"/>
        <v>34.719887235432736</v>
      </c>
      <c r="K37" s="234">
        <f>K38</f>
        <v>0</v>
      </c>
      <c r="L37" s="2990">
        <f t="shared" ref="L37:L39" si="27">K37/G37*100</f>
        <v>0</v>
      </c>
      <c r="M37" s="744">
        <f t="shared" si="23"/>
        <v>-563220</v>
      </c>
      <c r="N37" s="3773"/>
      <c r="O37" s="1750"/>
    </row>
    <row r="38" spans="1:15" ht="15.75" customHeight="1" x14ac:dyDescent="0.2">
      <c r="A38" s="3758"/>
      <c r="B38" s="3001" t="s">
        <v>12</v>
      </c>
      <c r="C38" s="3761" t="s">
        <v>313</v>
      </c>
      <c r="D38" s="254">
        <f>+D39</f>
        <v>1362130</v>
      </c>
      <c r="E38" s="257">
        <f t="shared" si="26"/>
        <v>0</v>
      </c>
      <c r="F38" s="255">
        <f t="shared" si="26"/>
        <v>472930</v>
      </c>
      <c r="G38" s="255">
        <f t="shared" si="26"/>
        <v>563220</v>
      </c>
      <c r="H38" s="868">
        <f t="shared" si="26"/>
        <v>325980</v>
      </c>
      <c r="I38" s="395">
        <f>I39</f>
        <v>472930</v>
      </c>
      <c r="J38" s="1859">
        <f t="shared" si="22"/>
        <v>34.719887235432736</v>
      </c>
      <c r="K38" s="1821">
        <f>K39</f>
        <v>0</v>
      </c>
      <c r="L38" s="1859">
        <f t="shared" si="27"/>
        <v>0</v>
      </c>
      <c r="M38" s="1181">
        <f t="shared" si="23"/>
        <v>-563220</v>
      </c>
      <c r="N38" s="3773"/>
      <c r="O38" s="1750"/>
    </row>
    <row r="39" spans="1:15" ht="13.5" thickBot="1" x14ac:dyDescent="0.25">
      <c r="A39" s="3759"/>
      <c r="B39" s="3003" t="s">
        <v>14</v>
      </c>
      <c r="C39" s="3762"/>
      <c r="D39" s="262">
        <f>+E39+F39+G39+H39</f>
        <v>1362130</v>
      </c>
      <c r="E39" s="818">
        <v>0</v>
      </c>
      <c r="F39" s="263">
        <v>472930</v>
      </c>
      <c r="G39" s="263">
        <v>563220</v>
      </c>
      <c r="H39" s="2877">
        <v>325980</v>
      </c>
      <c r="I39" s="1613">
        <f>K39+E39+F39</f>
        <v>472930</v>
      </c>
      <c r="J39" s="801">
        <f t="shared" si="22"/>
        <v>34.719887235432736</v>
      </c>
      <c r="K39" s="263">
        <v>0</v>
      </c>
      <c r="L39" s="801">
        <f t="shared" si="27"/>
        <v>0</v>
      </c>
      <c r="M39" s="2935">
        <f t="shared" si="23"/>
        <v>-563220</v>
      </c>
      <c r="N39" s="3774"/>
      <c r="O39" s="1750"/>
    </row>
    <row r="40" spans="1:15" ht="57" customHeight="1" x14ac:dyDescent="0.2">
      <c r="A40" s="3757" t="s">
        <v>40</v>
      </c>
      <c r="B40" s="2997" t="s">
        <v>314</v>
      </c>
      <c r="C40" s="1807" t="s">
        <v>315</v>
      </c>
      <c r="D40" s="2841"/>
      <c r="E40" s="2839"/>
      <c r="F40" s="2839"/>
      <c r="G40" s="2839"/>
      <c r="H40" s="2845"/>
      <c r="I40" s="2841"/>
      <c r="J40" s="1815"/>
      <c r="K40" s="2842"/>
      <c r="L40" s="1815"/>
      <c r="M40" s="2988"/>
      <c r="N40" s="3772" t="s">
        <v>316</v>
      </c>
      <c r="O40" s="1750"/>
    </row>
    <row r="41" spans="1:15" ht="15" customHeight="1" x14ac:dyDescent="0.2">
      <c r="A41" s="3758"/>
      <c r="B41" s="2998" t="s">
        <v>2</v>
      </c>
      <c r="C41" s="25"/>
      <c r="D41" s="233">
        <f t="shared" ref="D41" si="28">+D42+D44</f>
        <v>98000</v>
      </c>
      <c r="E41" s="234">
        <f>+E42+E44</f>
        <v>0</v>
      </c>
      <c r="F41" s="234">
        <f t="shared" ref="F41:I41" si="29">+F42+F44</f>
        <v>0</v>
      </c>
      <c r="G41" s="234">
        <f t="shared" si="29"/>
        <v>98000</v>
      </c>
      <c r="H41" s="235">
        <f t="shared" si="29"/>
        <v>0</v>
      </c>
      <c r="I41" s="233">
        <f t="shared" si="29"/>
        <v>0</v>
      </c>
      <c r="J41" s="2990">
        <f>I41/D41*100</f>
        <v>0</v>
      </c>
      <c r="K41" s="234">
        <f>K42+K44</f>
        <v>0</v>
      </c>
      <c r="L41" s="234">
        <f>L42+L44</f>
        <v>0</v>
      </c>
      <c r="M41" s="744">
        <f t="shared" ref="M41:M48" si="30">+K41-G41</f>
        <v>-98000</v>
      </c>
      <c r="N41" s="3773"/>
      <c r="O41" s="1750"/>
    </row>
    <row r="42" spans="1:15" ht="14.25" customHeight="1" x14ac:dyDescent="0.2">
      <c r="A42" s="3758"/>
      <c r="B42" s="2999" t="s">
        <v>17</v>
      </c>
      <c r="C42" s="3100" t="s">
        <v>312</v>
      </c>
      <c r="D42" s="277">
        <f t="shared" ref="D42:I42" si="31">+D43</f>
        <v>0</v>
      </c>
      <c r="E42" s="278">
        <f t="shared" si="31"/>
        <v>0</v>
      </c>
      <c r="F42" s="842">
        <f t="shared" si="31"/>
        <v>0</v>
      </c>
      <c r="G42" s="278">
        <f t="shared" si="31"/>
        <v>0</v>
      </c>
      <c r="H42" s="333">
        <f t="shared" si="31"/>
        <v>0</v>
      </c>
      <c r="I42" s="277">
        <f t="shared" si="31"/>
        <v>0</v>
      </c>
      <c r="J42" s="144">
        <v>0</v>
      </c>
      <c r="K42" s="1821">
        <f>K43</f>
        <v>0</v>
      </c>
      <c r="L42" s="144">
        <v>0</v>
      </c>
      <c r="M42" s="1181">
        <f t="shared" si="30"/>
        <v>0</v>
      </c>
      <c r="N42" s="3773"/>
      <c r="O42" s="1750"/>
    </row>
    <row r="43" spans="1:15" ht="14.25" customHeight="1" x14ac:dyDescent="0.2">
      <c r="A43" s="3758"/>
      <c r="B43" s="3000" t="s">
        <v>4</v>
      </c>
      <c r="C43" s="3760"/>
      <c r="D43" s="244">
        <f>+E43+F43+G43+H43</f>
        <v>0</v>
      </c>
      <c r="E43" s="779">
        <v>0</v>
      </c>
      <c r="F43" s="779">
        <v>0</v>
      </c>
      <c r="G43" s="779">
        <v>0</v>
      </c>
      <c r="H43" s="1214">
        <v>0</v>
      </c>
      <c r="I43" s="1587">
        <f>K43+E43+F43</f>
        <v>0</v>
      </c>
      <c r="J43" s="780">
        <v>0</v>
      </c>
      <c r="K43" s="779">
        <v>0</v>
      </c>
      <c r="L43" s="780">
        <v>0</v>
      </c>
      <c r="M43" s="2992">
        <f t="shared" si="30"/>
        <v>0</v>
      </c>
      <c r="N43" s="3773"/>
      <c r="O43" s="1750"/>
    </row>
    <row r="44" spans="1:15" ht="14.25" customHeight="1" x14ac:dyDescent="0.2">
      <c r="A44" s="3758"/>
      <c r="B44" s="3001" t="s">
        <v>12</v>
      </c>
      <c r="C44" s="3760"/>
      <c r="D44" s="254">
        <f t="shared" ref="D44:I44" si="32">+D45</f>
        <v>98000</v>
      </c>
      <c r="E44" s="813">
        <f t="shared" si="32"/>
        <v>0</v>
      </c>
      <c r="F44" s="1087">
        <f t="shared" si="32"/>
        <v>0</v>
      </c>
      <c r="G44" s="813">
        <f t="shared" si="32"/>
        <v>98000</v>
      </c>
      <c r="H44" s="866">
        <f t="shared" si="32"/>
        <v>0</v>
      </c>
      <c r="I44" s="254">
        <f t="shared" si="32"/>
        <v>0</v>
      </c>
      <c r="J44" s="144">
        <f t="shared" ref="J44:J48" si="33">I44/D44*100</f>
        <v>0</v>
      </c>
      <c r="K44" s="1087">
        <f>K45</f>
        <v>0</v>
      </c>
      <c r="L44" s="144">
        <v>0</v>
      </c>
      <c r="M44" s="1343">
        <f t="shared" si="30"/>
        <v>-98000</v>
      </c>
      <c r="N44" s="3773"/>
      <c r="O44" s="1750"/>
    </row>
    <row r="45" spans="1:15" ht="14.25" customHeight="1" x14ac:dyDescent="0.2">
      <c r="A45" s="3758"/>
      <c r="B45" s="3002" t="s">
        <v>14</v>
      </c>
      <c r="C45" s="3760"/>
      <c r="D45" s="244">
        <f>+E45+F45+G45+H45</f>
        <v>98000</v>
      </c>
      <c r="E45" s="779">
        <v>0</v>
      </c>
      <c r="F45" s="779">
        <v>0</v>
      </c>
      <c r="G45" s="779">
        <v>98000</v>
      </c>
      <c r="H45" s="1214">
        <v>0</v>
      </c>
      <c r="I45" s="1587">
        <f>K45+E45+F45</f>
        <v>0</v>
      </c>
      <c r="J45" s="780">
        <f t="shared" si="33"/>
        <v>0</v>
      </c>
      <c r="K45" s="779">
        <v>0</v>
      </c>
      <c r="L45" s="780">
        <v>0</v>
      </c>
      <c r="M45" s="2992">
        <f t="shared" si="30"/>
        <v>-98000</v>
      </c>
      <c r="N45" s="3773"/>
      <c r="O45" s="1750"/>
    </row>
    <row r="46" spans="1:15" ht="15.75" customHeight="1" x14ac:dyDescent="0.2">
      <c r="A46" s="3758"/>
      <c r="B46" s="2998" t="s">
        <v>16</v>
      </c>
      <c r="C46" s="25"/>
      <c r="D46" s="233">
        <f>+D47</f>
        <v>98000</v>
      </c>
      <c r="E46" s="287">
        <f t="shared" ref="E46:H47" si="34">+E47</f>
        <v>0</v>
      </c>
      <c r="F46" s="234">
        <f t="shared" si="34"/>
        <v>98000</v>
      </c>
      <c r="G46" s="234">
        <f t="shared" si="34"/>
        <v>0</v>
      </c>
      <c r="H46" s="867">
        <f t="shared" si="34"/>
        <v>0</v>
      </c>
      <c r="I46" s="233">
        <f>I47</f>
        <v>98000</v>
      </c>
      <c r="J46" s="2990">
        <f t="shared" si="33"/>
        <v>100</v>
      </c>
      <c r="K46" s="234">
        <f>K47</f>
        <v>0</v>
      </c>
      <c r="L46" s="3004">
        <v>0</v>
      </c>
      <c r="M46" s="744">
        <f t="shared" si="30"/>
        <v>0</v>
      </c>
      <c r="N46" s="3773"/>
      <c r="O46" s="1750"/>
    </row>
    <row r="47" spans="1:15" ht="15.75" customHeight="1" x14ac:dyDescent="0.2">
      <c r="A47" s="3758"/>
      <c r="B47" s="3001" t="s">
        <v>12</v>
      </c>
      <c r="C47" s="3761" t="s">
        <v>313</v>
      </c>
      <c r="D47" s="254">
        <f>+D48</f>
        <v>98000</v>
      </c>
      <c r="E47" s="257">
        <f t="shared" si="34"/>
        <v>0</v>
      </c>
      <c r="F47" s="255">
        <f t="shared" si="34"/>
        <v>98000</v>
      </c>
      <c r="G47" s="255">
        <f t="shared" si="34"/>
        <v>0</v>
      </c>
      <c r="H47" s="868">
        <f t="shared" si="34"/>
        <v>0</v>
      </c>
      <c r="I47" s="395">
        <f>I48</f>
        <v>98000</v>
      </c>
      <c r="J47" s="1859">
        <f t="shared" si="33"/>
        <v>100</v>
      </c>
      <c r="K47" s="1821">
        <f>K48</f>
        <v>0</v>
      </c>
      <c r="L47" s="396">
        <v>0</v>
      </c>
      <c r="M47" s="1181">
        <f t="shared" si="30"/>
        <v>0</v>
      </c>
      <c r="N47" s="3773"/>
      <c r="O47" s="1750"/>
    </row>
    <row r="48" spans="1:15" ht="15.75" customHeight="1" thickBot="1" x14ac:dyDescent="0.25">
      <c r="A48" s="3759"/>
      <c r="B48" s="3003" t="s">
        <v>14</v>
      </c>
      <c r="C48" s="3762"/>
      <c r="D48" s="262">
        <f>+E48+F48+G48+H48</f>
        <v>98000</v>
      </c>
      <c r="E48" s="818">
        <v>0</v>
      </c>
      <c r="F48" s="263">
        <v>98000</v>
      </c>
      <c r="G48" s="263">
        <v>0</v>
      </c>
      <c r="H48" s="2877">
        <v>0</v>
      </c>
      <c r="I48" s="1613">
        <f>K48+E48+F48</f>
        <v>98000</v>
      </c>
      <c r="J48" s="801">
        <f t="shared" si="33"/>
        <v>100</v>
      </c>
      <c r="K48" s="263">
        <v>0</v>
      </c>
      <c r="L48" s="818">
        <v>0</v>
      </c>
      <c r="M48" s="2935">
        <f t="shared" si="30"/>
        <v>0</v>
      </c>
      <c r="N48" s="3774"/>
      <c r="O48" s="1750"/>
    </row>
    <row r="49" spans="1:15" ht="12" thickBot="1" x14ac:dyDescent="0.25">
      <c r="A49" s="1965"/>
      <c r="B49" s="1750"/>
      <c r="C49" s="1750"/>
      <c r="D49" s="1750"/>
      <c r="E49" s="1750"/>
      <c r="F49" s="1750"/>
      <c r="G49" s="1750"/>
      <c r="H49" s="1750"/>
      <c r="I49" s="1750"/>
      <c r="J49" s="1750"/>
      <c r="N49" s="1976"/>
      <c r="O49" s="1750"/>
    </row>
    <row r="50" spans="1:15" x14ac:dyDescent="0.2">
      <c r="A50" s="1969"/>
      <c r="B50" s="1750"/>
      <c r="C50" s="1750"/>
      <c r="D50" s="1750"/>
      <c r="E50" s="1750"/>
      <c r="F50" s="1750"/>
      <c r="G50" s="1750"/>
      <c r="H50" s="1750"/>
      <c r="I50" s="1750"/>
      <c r="J50" s="1750"/>
      <c r="N50" s="1976"/>
      <c r="O50" s="1750"/>
    </row>
    <row r="51" spans="1:15" x14ac:dyDescent="0.2">
      <c r="A51" s="1963"/>
      <c r="B51" s="1750"/>
      <c r="C51" s="1750"/>
      <c r="D51" s="1750"/>
      <c r="E51" s="1750"/>
      <c r="F51" s="1750"/>
      <c r="G51" s="1750"/>
      <c r="H51" s="1750"/>
      <c r="I51" s="1750"/>
      <c r="J51" s="1750"/>
      <c r="N51" s="1976"/>
      <c r="O51" s="1750"/>
    </row>
    <row r="52" spans="1:15" x14ac:dyDescent="0.2">
      <c r="A52" s="1963"/>
      <c r="B52" s="1750"/>
      <c r="C52" s="1750"/>
      <c r="D52" s="1750"/>
      <c r="E52" s="1750"/>
      <c r="F52" s="1750"/>
      <c r="G52" s="1750"/>
      <c r="H52" s="1750"/>
      <c r="I52" s="1750"/>
      <c r="J52" s="1750"/>
      <c r="N52" s="1976"/>
      <c r="O52" s="1750"/>
    </row>
    <row r="53" spans="1:15" x14ac:dyDescent="0.2">
      <c r="A53" s="1963"/>
      <c r="B53" s="1750"/>
      <c r="C53" s="1750"/>
      <c r="D53" s="1750"/>
      <c r="E53" s="1750"/>
      <c r="F53" s="1750"/>
      <c r="G53" s="1750"/>
      <c r="H53" s="1750"/>
      <c r="I53" s="1750"/>
      <c r="J53" s="1750"/>
      <c r="N53" s="1976"/>
      <c r="O53" s="1750"/>
    </row>
    <row r="54" spans="1:15" x14ac:dyDescent="0.2">
      <c r="A54" s="1963"/>
      <c r="B54" s="1750"/>
      <c r="C54" s="1750"/>
      <c r="D54" s="1750"/>
      <c r="E54" s="1750"/>
      <c r="F54" s="1750"/>
      <c r="G54" s="1750"/>
      <c r="H54" s="1750"/>
      <c r="I54" s="1750"/>
      <c r="J54" s="1750"/>
      <c r="N54" s="1976"/>
      <c r="O54" s="1750"/>
    </row>
    <row r="55" spans="1:15" x14ac:dyDescent="0.2">
      <c r="A55" s="1963"/>
      <c r="B55" s="1750"/>
      <c r="C55" s="1750"/>
      <c r="D55" s="1750"/>
      <c r="E55" s="1750"/>
      <c r="F55" s="1750"/>
      <c r="G55" s="1750"/>
      <c r="H55" s="1750"/>
      <c r="I55" s="1750"/>
      <c r="J55" s="1750"/>
      <c r="N55" s="1976"/>
      <c r="O55" s="1750"/>
    </row>
    <row r="56" spans="1:15" x14ac:dyDescent="0.2">
      <c r="A56" s="1963"/>
      <c r="B56" s="1750"/>
      <c r="C56" s="1750"/>
      <c r="D56" s="1750"/>
      <c r="E56" s="1750"/>
      <c r="F56" s="1750"/>
      <c r="G56" s="1750"/>
      <c r="H56" s="1750"/>
      <c r="I56" s="1750"/>
      <c r="J56" s="1750"/>
      <c r="N56" s="1976"/>
      <c r="O56" s="1750"/>
    </row>
    <row r="57" spans="1:15" x14ac:dyDescent="0.2">
      <c r="A57" s="1963"/>
      <c r="B57" s="1750"/>
      <c r="C57" s="1750"/>
      <c r="D57" s="1750"/>
      <c r="E57" s="1750"/>
      <c r="F57" s="1750"/>
      <c r="G57" s="1750"/>
      <c r="H57" s="1750"/>
      <c r="I57" s="1750"/>
      <c r="J57" s="1750"/>
      <c r="N57" s="1976"/>
      <c r="O57" s="1750"/>
    </row>
    <row r="58" spans="1:15" x14ac:dyDescent="0.2">
      <c r="A58" s="1963"/>
      <c r="B58" s="1750"/>
      <c r="C58" s="1750"/>
      <c r="D58" s="1750"/>
      <c r="E58" s="1750"/>
      <c r="F58" s="1750"/>
      <c r="G58" s="1750"/>
      <c r="H58" s="1750"/>
      <c r="I58" s="1750"/>
      <c r="J58" s="1750"/>
      <c r="N58" s="1976"/>
      <c r="O58" s="1750"/>
    </row>
    <row r="59" spans="1:15" x14ac:dyDescent="0.2">
      <c r="A59" s="1963"/>
      <c r="B59" s="1750"/>
      <c r="C59" s="1750"/>
      <c r="D59" s="1750"/>
      <c r="E59" s="1750"/>
      <c r="F59" s="1750"/>
      <c r="G59" s="1750"/>
      <c r="H59" s="1750"/>
      <c r="I59" s="1750"/>
      <c r="J59" s="1750"/>
      <c r="N59" s="1976"/>
      <c r="O59" s="1750"/>
    </row>
    <row r="60" spans="1:15" ht="12" thickBot="1" x14ac:dyDescent="0.25">
      <c r="A60" s="1963"/>
      <c r="B60" s="1750"/>
      <c r="C60" s="1750"/>
      <c r="D60" s="1750"/>
      <c r="E60" s="1750"/>
      <c r="F60" s="1750"/>
      <c r="G60" s="1750"/>
      <c r="H60" s="1750"/>
      <c r="I60" s="1750"/>
      <c r="J60" s="1750"/>
      <c r="N60" s="1976"/>
      <c r="O60" s="1750"/>
    </row>
    <row r="61" spans="1:15" x14ac:dyDescent="0.2">
      <c r="A61" s="1969"/>
      <c r="B61" s="1750"/>
      <c r="C61" s="1750"/>
      <c r="D61" s="1750"/>
      <c r="E61" s="1750"/>
      <c r="F61" s="1750"/>
      <c r="G61" s="1750"/>
      <c r="H61" s="1750"/>
      <c r="I61" s="1750"/>
      <c r="J61" s="1750"/>
      <c r="N61" s="1976"/>
      <c r="O61" s="1750"/>
    </row>
    <row r="62" spans="1:15" ht="12" thickBot="1" x14ac:dyDescent="0.25">
      <c r="A62" s="1965"/>
      <c r="B62" s="1750"/>
      <c r="C62" s="1750"/>
      <c r="D62" s="1750"/>
      <c r="E62" s="1750"/>
      <c r="F62" s="1750"/>
      <c r="G62" s="1750"/>
      <c r="H62" s="1750"/>
      <c r="I62" s="1750"/>
      <c r="J62" s="1750"/>
      <c r="N62" s="1976"/>
      <c r="O62" s="1750"/>
    </row>
    <row r="63" spans="1:15" x14ac:dyDescent="0.2">
      <c r="A63" s="1963"/>
      <c r="B63" s="1750"/>
      <c r="C63" s="1750"/>
      <c r="D63" s="1750"/>
      <c r="E63" s="1750"/>
      <c r="F63" s="1750"/>
      <c r="G63" s="1750"/>
      <c r="H63" s="1750"/>
      <c r="I63" s="1750"/>
      <c r="J63" s="1750"/>
      <c r="N63" s="1976"/>
      <c r="O63" s="1750"/>
    </row>
    <row r="64" spans="1:15" ht="12" thickBot="1" x14ac:dyDescent="0.25">
      <c r="A64" s="1963"/>
      <c r="B64" s="1750"/>
      <c r="C64" s="1750"/>
      <c r="D64" s="1750"/>
      <c r="E64" s="1750"/>
      <c r="F64" s="1750"/>
      <c r="G64" s="1750"/>
      <c r="H64" s="1750"/>
      <c r="I64" s="1750"/>
      <c r="J64" s="1750"/>
      <c r="N64" s="1976"/>
      <c r="O64" s="1750"/>
    </row>
    <row r="65" spans="1:15" x14ac:dyDescent="0.2">
      <c r="A65" s="1969"/>
      <c r="B65" s="1750"/>
      <c r="C65" s="1750"/>
      <c r="D65" s="1750"/>
      <c r="E65" s="1750"/>
      <c r="F65" s="1750"/>
      <c r="G65" s="1750"/>
      <c r="H65" s="1750"/>
      <c r="I65" s="1750"/>
      <c r="J65" s="1750"/>
      <c r="N65" s="1976"/>
      <c r="O65" s="1750"/>
    </row>
    <row r="66" spans="1:15" ht="12" thickBot="1" x14ac:dyDescent="0.25">
      <c r="A66" s="1963"/>
      <c r="B66" s="1750"/>
      <c r="C66" s="1750"/>
      <c r="D66" s="1750"/>
      <c r="E66" s="1750"/>
      <c r="F66" s="1750"/>
      <c r="G66" s="1750"/>
      <c r="H66" s="1750"/>
      <c r="I66" s="1750"/>
      <c r="J66" s="1750"/>
      <c r="N66" s="1976"/>
      <c r="O66" s="1750"/>
    </row>
    <row r="67" spans="1:15" ht="12" thickBot="1" x14ac:dyDescent="0.25">
      <c r="A67" s="3005"/>
      <c r="B67" s="1750"/>
      <c r="C67" s="1750"/>
      <c r="D67" s="1750"/>
      <c r="E67" s="1750"/>
      <c r="F67" s="1750"/>
      <c r="G67" s="1750"/>
      <c r="H67" s="1750"/>
      <c r="I67" s="1750"/>
      <c r="J67" s="1750"/>
      <c r="N67" s="1976"/>
      <c r="O67" s="1750"/>
    </row>
    <row r="68" spans="1:15" x14ac:dyDescent="0.2">
      <c r="A68" s="1963"/>
      <c r="B68" s="1750"/>
      <c r="C68" s="1750"/>
      <c r="D68" s="1750"/>
      <c r="E68" s="1750"/>
      <c r="F68" s="1750"/>
      <c r="G68" s="1750"/>
      <c r="H68" s="1750"/>
      <c r="I68" s="1750"/>
      <c r="J68" s="1750"/>
      <c r="N68" s="1976"/>
      <c r="O68" s="1750"/>
    </row>
    <row r="69" spans="1:15" x14ac:dyDescent="0.2">
      <c r="A69" s="1963"/>
      <c r="B69" s="1750"/>
      <c r="C69" s="1750"/>
      <c r="D69" s="1750"/>
      <c r="E69" s="1750"/>
      <c r="F69" s="1750"/>
      <c r="G69" s="1750"/>
      <c r="H69" s="1750"/>
      <c r="I69" s="1750"/>
      <c r="J69" s="1750"/>
      <c r="N69" s="1976"/>
      <c r="O69" s="1750"/>
    </row>
    <row r="70" spans="1:15" ht="12" thickBot="1" x14ac:dyDescent="0.25">
      <c r="A70" s="1965"/>
      <c r="B70" s="1750"/>
      <c r="C70" s="1750"/>
      <c r="D70" s="1750"/>
      <c r="E70" s="1750"/>
      <c r="F70" s="1750"/>
      <c r="G70" s="1750"/>
      <c r="H70" s="1750"/>
      <c r="I70" s="1750"/>
      <c r="J70" s="1750"/>
      <c r="N70" s="1976"/>
      <c r="O70" s="1750"/>
    </row>
    <row r="71" spans="1:15" x14ac:dyDescent="0.2">
      <c r="A71" s="1969"/>
      <c r="B71" s="1750"/>
      <c r="C71" s="1750"/>
      <c r="D71" s="1750"/>
      <c r="E71" s="1750"/>
      <c r="F71" s="1750"/>
      <c r="G71" s="1750"/>
      <c r="H71" s="1750"/>
      <c r="I71" s="1750"/>
      <c r="J71" s="1750"/>
      <c r="N71" s="1976"/>
      <c r="O71" s="1750"/>
    </row>
    <row r="72" spans="1:15" x14ac:dyDescent="0.2">
      <c r="A72" s="1963"/>
      <c r="B72" s="1750"/>
      <c r="C72" s="1750"/>
      <c r="D72" s="1750"/>
      <c r="E72" s="1750"/>
      <c r="F72" s="1750"/>
      <c r="G72" s="1750"/>
      <c r="H72" s="1750"/>
      <c r="I72" s="1750"/>
      <c r="J72" s="1750"/>
      <c r="N72" s="1976"/>
      <c r="O72" s="1750"/>
    </row>
    <row r="73" spans="1:15" x14ac:dyDescent="0.2">
      <c r="A73" s="1963"/>
      <c r="B73" s="1750"/>
      <c r="C73" s="1750"/>
      <c r="D73" s="1750"/>
      <c r="E73" s="1750"/>
      <c r="F73" s="1750"/>
      <c r="G73" s="1750"/>
      <c r="H73" s="1750"/>
      <c r="I73" s="1750"/>
      <c r="J73" s="1750"/>
      <c r="N73" s="1976"/>
      <c r="O73" s="1750"/>
    </row>
    <row r="74" spans="1:15" x14ac:dyDescent="0.2">
      <c r="A74" s="1963"/>
      <c r="B74" s="1750"/>
      <c r="C74" s="1750"/>
      <c r="D74" s="1750"/>
      <c r="E74" s="1750"/>
      <c r="F74" s="1750"/>
      <c r="G74" s="1750"/>
      <c r="H74" s="1750"/>
      <c r="I74" s="1750"/>
      <c r="J74" s="1750"/>
      <c r="N74" s="1976"/>
      <c r="O74" s="1750"/>
    </row>
    <row r="75" spans="1:15" x14ac:dyDescent="0.2">
      <c r="A75" s="1963"/>
      <c r="B75" s="1750"/>
      <c r="C75" s="1750"/>
      <c r="D75" s="1750"/>
      <c r="E75" s="1750"/>
      <c r="F75" s="1750"/>
      <c r="G75" s="1750"/>
      <c r="H75" s="1750"/>
      <c r="I75" s="1750"/>
      <c r="J75" s="1750"/>
      <c r="N75" s="1976"/>
      <c r="O75" s="1750"/>
    </row>
    <row r="76" spans="1:15" x14ac:dyDescent="0.2">
      <c r="A76" s="1963"/>
      <c r="B76" s="1750"/>
      <c r="C76" s="1750"/>
      <c r="D76" s="1750"/>
      <c r="E76" s="1750"/>
      <c r="F76" s="1750"/>
      <c r="G76" s="1750"/>
      <c r="H76" s="1750"/>
      <c r="I76" s="1750"/>
      <c r="J76" s="1750"/>
      <c r="N76" s="1976"/>
      <c r="O76" s="1750"/>
    </row>
    <row r="77" spans="1:15" x14ac:dyDescent="0.2">
      <c r="A77" s="1963"/>
      <c r="B77" s="1750"/>
      <c r="C77" s="1750"/>
      <c r="D77" s="1750"/>
      <c r="E77" s="1750"/>
      <c r="F77" s="1750"/>
      <c r="G77" s="1750"/>
      <c r="H77" s="1750"/>
      <c r="I77" s="1750"/>
      <c r="J77" s="1750"/>
      <c r="N77" s="1976"/>
      <c r="O77" s="1750"/>
    </row>
    <row r="78" spans="1:15" x14ac:dyDescent="0.2">
      <c r="A78" s="1963"/>
      <c r="B78" s="1750"/>
      <c r="C78" s="1750"/>
      <c r="D78" s="1750"/>
      <c r="E78" s="1750"/>
      <c r="F78" s="1750"/>
      <c r="G78" s="1750"/>
      <c r="H78" s="1750"/>
      <c r="I78" s="1750"/>
      <c r="J78" s="1750"/>
      <c r="N78" s="1976"/>
      <c r="O78" s="1750"/>
    </row>
    <row r="79" spans="1:15" x14ac:dyDescent="0.2">
      <c r="A79" s="1963"/>
      <c r="B79" s="1750"/>
      <c r="C79" s="1750"/>
      <c r="D79" s="1750"/>
      <c r="E79" s="1750"/>
      <c r="F79" s="1750"/>
      <c r="G79" s="1750"/>
      <c r="H79" s="1750"/>
      <c r="I79" s="1750"/>
      <c r="J79" s="1750"/>
      <c r="N79" s="1976"/>
      <c r="O79" s="1750"/>
    </row>
    <row r="80" spans="1:15" ht="12" thickBot="1" x14ac:dyDescent="0.25">
      <c r="A80" s="1965"/>
      <c r="B80" s="1750"/>
      <c r="C80" s="1750"/>
      <c r="D80" s="1750"/>
      <c r="E80" s="1750"/>
      <c r="F80" s="1750"/>
      <c r="G80" s="1750"/>
      <c r="H80" s="1750"/>
      <c r="I80" s="1750"/>
      <c r="J80" s="1750"/>
      <c r="N80" s="1976"/>
      <c r="O80" s="1750"/>
    </row>
    <row r="81" spans="1:15" ht="12" thickBot="1" x14ac:dyDescent="0.25">
      <c r="A81" s="1965"/>
      <c r="B81" s="1750"/>
      <c r="C81" s="1750"/>
      <c r="D81" s="1750"/>
      <c r="E81" s="1750"/>
      <c r="F81" s="1750"/>
      <c r="G81" s="1750"/>
      <c r="H81" s="1750"/>
      <c r="I81" s="1750"/>
      <c r="J81" s="1750"/>
      <c r="N81" s="1976"/>
      <c r="O81" s="1750"/>
    </row>
    <row r="82" spans="1:15" x14ac:dyDescent="0.2">
      <c r="A82" s="1969"/>
      <c r="B82" s="1750"/>
      <c r="C82" s="1750"/>
      <c r="D82" s="1750"/>
      <c r="E82" s="1750"/>
      <c r="F82" s="1750"/>
      <c r="G82" s="1750"/>
      <c r="H82" s="1750"/>
      <c r="I82" s="1750"/>
      <c r="J82" s="1750"/>
      <c r="N82" s="1976"/>
      <c r="O82" s="1750"/>
    </row>
    <row r="83" spans="1:15" x14ac:dyDescent="0.2">
      <c r="A83" s="1963"/>
      <c r="B83" s="1750"/>
      <c r="C83" s="1750"/>
      <c r="D83" s="1750"/>
      <c r="E83" s="1750"/>
      <c r="F83" s="1750"/>
      <c r="G83" s="1750"/>
      <c r="H83" s="1750"/>
      <c r="I83" s="1750"/>
      <c r="J83" s="1750"/>
      <c r="N83" s="1976"/>
      <c r="O83" s="1750"/>
    </row>
    <row r="84" spans="1:15" x14ac:dyDescent="0.2">
      <c r="A84" s="1963"/>
      <c r="B84" s="1750"/>
      <c r="C84" s="1750"/>
      <c r="D84" s="1750"/>
      <c r="E84" s="1750"/>
      <c r="F84" s="1750"/>
      <c r="G84" s="1750"/>
      <c r="H84" s="1750"/>
      <c r="I84" s="1750"/>
      <c r="J84" s="1750"/>
      <c r="N84" s="1976"/>
      <c r="O84" s="1750"/>
    </row>
    <row r="85" spans="1:15" x14ac:dyDescent="0.2">
      <c r="A85" s="1963"/>
      <c r="B85" s="1750"/>
      <c r="C85" s="1750"/>
      <c r="D85" s="1750"/>
      <c r="E85" s="1750"/>
      <c r="F85" s="1750"/>
      <c r="G85" s="1750"/>
      <c r="H85" s="1750"/>
      <c r="I85" s="1750"/>
      <c r="J85" s="1750"/>
      <c r="N85" s="1976"/>
      <c r="O85" s="1750"/>
    </row>
    <row r="86" spans="1:15" x14ac:dyDescent="0.2">
      <c r="A86" s="1963"/>
      <c r="B86" s="1750"/>
      <c r="C86" s="1750"/>
      <c r="D86" s="1750"/>
      <c r="E86" s="1750"/>
      <c r="F86" s="1750"/>
      <c r="G86" s="1750"/>
      <c r="H86" s="1750"/>
      <c r="I86" s="1750"/>
      <c r="J86" s="1750"/>
      <c r="N86" s="1976"/>
      <c r="O86" s="1750"/>
    </row>
    <row r="87" spans="1:15" x14ac:dyDescent="0.2">
      <c r="A87" s="1963"/>
      <c r="B87" s="1750"/>
      <c r="C87" s="1750"/>
      <c r="D87" s="1750"/>
      <c r="E87" s="1750"/>
      <c r="F87" s="1750"/>
      <c r="G87" s="1750"/>
      <c r="H87" s="1750"/>
      <c r="I87" s="1750"/>
      <c r="J87" s="1750"/>
      <c r="N87" s="1976"/>
      <c r="O87" s="1750"/>
    </row>
    <row r="88" spans="1:15" x14ac:dyDescent="0.2">
      <c r="A88" s="1963"/>
      <c r="B88" s="1750"/>
      <c r="C88" s="1750"/>
      <c r="D88" s="1750"/>
      <c r="E88" s="1750"/>
      <c r="F88" s="1750"/>
      <c r="G88" s="1750"/>
      <c r="H88" s="1750"/>
      <c r="I88" s="1750"/>
      <c r="J88" s="1750"/>
      <c r="N88" s="1976"/>
      <c r="O88" s="1750"/>
    </row>
    <row r="89" spans="1:15" x14ac:dyDescent="0.2">
      <c r="A89" s="1963"/>
      <c r="B89" s="1750"/>
      <c r="C89" s="1750"/>
      <c r="D89" s="1750"/>
      <c r="E89" s="1750"/>
      <c r="F89" s="1750"/>
      <c r="G89" s="1750"/>
      <c r="H89" s="1750"/>
      <c r="I89" s="1750"/>
      <c r="J89" s="1750"/>
      <c r="N89" s="1976"/>
      <c r="O89" s="1750"/>
    </row>
    <row r="90" spans="1:15" x14ac:dyDescent="0.2">
      <c r="A90" s="1963"/>
      <c r="B90" s="1750"/>
      <c r="C90" s="1750"/>
      <c r="D90" s="1750"/>
      <c r="E90" s="1750"/>
      <c r="F90" s="1750"/>
      <c r="G90" s="1750"/>
      <c r="H90" s="1750"/>
      <c r="I90" s="1750"/>
      <c r="J90" s="1750"/>
      <c r="N90" s="1976"/>
      <c r="O90" s="1750"/>
    </row>
    <row r="91" spans="1:15" x14ac:dyDescent="0.2">
      <c r="A91" s="1963"/>
      <c r="B91" s="1750"/>
      <c r="C91" s="1750"/>
      <c r="D91" s="1750"/>
      <c r="E91" s="1750"/>
      <c r="F91" s="1750"/>
      <c r="G91" s="1750"/>
      <c r="H91" s="1750"/>
      <c r="I91" s="1750"/>
      <c r="J91" s="1750"/>
      <c r="N91" s="1976"/>
      <c r="O91" s="1750"/>
    </row>
    <row r="92" spans="1:15" x14ac:dyDescent="0.2">
      <c r="A92" s="1963"/>
      <c r="B92" s="1750"/>
      <c r="C92" s="1750"/>
      <c r="D92" s="1750"/>
      <c r="E92" s="1750"/>
      <c r="F92" s="1750"/>
      <c r="G92" s="1750"/>
      <c r="H92" s="1750"/>
      <c r="I92" s="1750"/>
      <c r="J92" s="1750"/>
      <c r="N92" s="1976"/>
      <c r="O92" s="1750"/>
    </row>
    <row r="93" spans="1:15" ht="12" thickBot="1" x14ac:dyDescent="0.25">
      <c r="A93" s="1965"/>
      <c r="B93" s="1750"/>
      <c r="C93" s="1750"/>
      <c r="D93" s="1750"/>
      <c r="E93" s="1750"/>
      <c r="F93" s="1750"/>
      <c r="G93" s="1750"/>
      <c r="H93" s="1750"/>
      <c r="I93" s="1750"/>
      <c r="J93" s="1750"/>
      <c r="N93" s="1976"/>
      <c r="O93" s="1750"/>
    </row>
    <row r="94" spans="1:15" x14ac:dyDescent="0.2">
      <c r="A94" s="1969"/>
      <c r="B94" s="1750"/>
      <c r="C94" s="1750"/>
      <c r="D94" s="1750"/>
      <c r="E94" s="1750"/>
      <c r="F94" s="1750"/>
      <c r="G94" s="1750"/>
      <c r="H94" s="1750"/>
      <c r="I94" s="1750"/>
      <c r="J94" s="1750"/>
      <c r="N94" s="1976"/>
      <c r="O94" s="1750"/>
    </row>
    <row r="95" spans="1:15" x14ac:dyDescent="0.2">
      <c r="A95" s="1963"/>
      <c r="B95" s="1750"/>
      <c r="C95" s="1750"/>
      <c r="D95" s="1750"/>
      <c r="E95" s="1750"/>
      <c r="F95" s="1750"/>
      <c r="G95" s="1750"/>
      <c r="H95" s="1750"/>
      <c r="I95" s="1750"/>
      <c r="J95" s="1750"/>
      <c r="N95" s="1976"/>
      <c r="O95" s="1750"/>
    </row>
    <row r="96" spans="1:15" x14ac:dyDescent="0.2">
      <c r="A96" s="1963"/>
      <c r="B96" s="1750"/>
      <c r="C96" s="1750"/>
      <c r="D96" s="1750"/>
      <c r="E96" s="1750"/>
      <c r="F96" s="1750"/>
      <c r="G96" s="1750"/>
      <c r="H96" s="1750"/>
      <c r="I96" s="1750"/>
      <c r="J96" s="1750"/>
      <c r="N96" s="1976"/>
      <c r="O96" s="1750"/>
    </row>
    <row r="97" spans="1:15" x14ac:dyDescent="0.2">
      <c r="A97" s="1963"/>
      <c r="B97" s="1750"/>
      <c r="C97" s="1750"/>
      <c r="D97" s="1750"/>
      <c r="E97" s="1750"/>
      <c r="F97" s="1750"/>
      <c r="G97" s="1750"/>
      <c r="H97" s="1750"/>
      <c r="I97" s="1750"/>
      <c r="J97" s="1750"/>
      <c r="N97" s="1976"/>
      <c r="O97" s="1750"/>
    </row>
    <row r="98" spans="1:15" x14ac:dyDescent="0.2">
      <c r="A98" s="1963"/>
      <c r="B98" s="1750"/>
      <c r="C98" s="1750"/>
      <c r="D98" s="1750"/>
      <c r="E98" s="1750"/>
      <c r="F98" s="1750"/>
      <c r="G98" s="1750"/>
      <c r="H98" s="1750"/>
      <c r="I98" s="1750"/>
      <c r="J98" s="1750"/>
      <c r="N98" s="1976"/>
      <c r="O98" s="1750"/>
    </row>
    <row r="99" spans="1:15" x14ac:dyDescent="0.2">
      <c r="A99" s="1963"/>
      <c r="B99" s="1750"/>
      <c r="C99" s="1750"/>
      <c r="D99" s="1750"/>
      <c r="E99" s="1750"/>
      <c r="F99" s="1750"/>
      <c r="G99" s="1750"/>
      <c r="H99" s="1750"/>
      <c r="I99" s="1750"/>
      <c r="J99" s="1750"/>
      <c r="N99" s="1976"/>
      <c r="O99" s="1750"/>
    </row>
    <row r="100" spans="1:15" x14ac:dyDescent="0.2">
      <c r="A100" s="1963"/>
      <c r="B100" s="1750"/>
      <c r="C100" s="1750"/>
      <c r="D100" s="1750"/>
      <c r="E100" s="1750"/>
      <c r="F100" s="1750"/>
      <c r="G100" s="1750"/>
      <c r="H100" s="1750"/>
      <c r="I100" s="1750"/>
      <c r="J100" s="1750"/>
      <c r="N100" s="1976"/>
      <c r="O100" s="1750"/>
    </row>
    <row r="101" spans="1:15" x14ac:dyDescent="0.2">
      <c r="A101" s="1963"/>
      <c r="B101" s="1750"/>
      <c r="C101" s="1750"/>
      <c r="D101" s="1750"/>
      <c r="E101" s="1750"/>
      <c r="F101" s="1750"/>
      <c r="G101" s="1750"/>
      <c r="H101" s="1750"/>
      <c r="I101" s="1750"/>
      <c r="J101" s="1750"/>
      <c r="N101" s="1976"/>
      <c r="O101" s="1750"/>
    </row>
    <row r="102" spans="1:15" x14ac:dyDescent="0.2">
      <c r="A102" s="1963"/>
      <c r="B102" s="1750"/>
      <c r="C102" s="1750"/>
      <c r="D102" s="1750"/>
      <c r="E102" s="1750"/>
      <c r="F102" s="1750"/>
      <c r="G102" s="1750"/>
      <c r="H102" s="1750"/>
      <c r="I102" s="1750"/>
      <c r="J102" s="1750"/>
      <c r="N102" s="1976"/>
      <c r="O102" s="1750"/>
    </row>
    <row r="103" spans="1:15" x14ac:dyDescent="0.2">
      <c r="A103" s="1963"/>
      <c r="B103" s="1750"/>
      <c r="C103" s="1750"/>
      <c r="D103" s="1750"/>
      <c r="E103" s="1750"/>
      <c r="F103" s="1750"/>
      <c r="G103" s="1750"/>
      <c r="H103" s="1750"/>
      <c r="I103" s="1750"/>
      <c r="J103" s="1750"/>
      <c r="N103" s="1976"/>
      <c r="O103" s="1750"/>
    </row>
    <row r="104" spans="1:15" x14ac:dyDescent="0.2">
      <c r="A104" s="1963"/>
      <c r="B104" s="1750"/>
      <c r="C104" s="1750"/>
      <c r="D104" s="1750"/>
      <c r="E104" s="1750"/>
      <c r="F104" s="1750"/>
      <c r="G104" s="1750"/>
      <c r="H104" s="1750"/>
      <c r="I104" s="1750"/>
      <c r="J104" s="1750"/>
      <c r="N104" s="1976"/>
      <c r="O104" s="1750"/>
    </row>
    <row r="105" spans="1:15" ht="12" thickBot="1" x14ac:dyDescent="0.25">
      <c r="A105" s="1965"/>
      <c r="B105" s="1750"/>
      <c r="C105" s="1750"/>
      <c r="D105" s="1750"/>
      <c r="E105" s="1750"/>
      <c r="F105" s="1750"/>
      <c r="G105" s="1750"/>
      <c r="H105" s="1750"/>
      <c r="I105" s="1750"/>
      <c r="J105" s="1750"/>
      <c r="N105" s="1976"/>
      <c r="O105" s="1750"/>
    </row>
    <row r="106" spans="1:15" x14ac:dyDescent="0.2">
      <c r="A106" s="1973"/>
      <c r="B106" s="1750"/>
      <c r="C106" s="1750"/>
      <c r="D106" s="1750"/>
      <c r="E106" s="1750"/>
      <c r="F106" s="1750"/>
      <c r="G106" s="1750"/>
      <c r="H106" s="1750"/>
      <c r="I106" s="1750"/>
      <c r="J106" s="1750"/>
      <c r="N106" s="1976"/>
      <c r="O106" s="1750"/>
    </row>
    <row r="107" spans="1:15" x14ac:dyDescent="0.2">
      <c r="A107" s="1974"/>
      <c r="B107" s="1750"/>
      <c r="C107" s="1750"/>
      <c r="D107" s="1750"/>
      <c r="E107" s="1750"/>
      <c r="F107" s="1750"/>
      <c r="G107" s="1750"/>
      <c r="H107" s="1750"/>
      <c r="I107" s="1750"/>
      <c r="J107" s="1750"/>
      <c r="N107" s="1976"/>
      <c r="O107" s="1750"/>
    </row>
    <row r="108" spans="1:15" x14ac:dyDescent="0.2">
      <c r="A108" s="1974"/>
      <c r="B108" s="1750"/>
      <c r="C108" s="1750"/>
      <c r="D108" s="1750"/>
      <c r="E108" s="1750"/>
      <c r="F108" s="1750"/>
      <c r="G108" s="1750"/>
      <c r="H108" s="1750"/>
      <c r="I108" s="1750"/>
      <c r="J108" s="1750"/>
      <c r="N108" s="1976"/>
      <c r="O108" s="1750"/>
    </row>
    <row r="109" spans="1:15" x14ac:dyDescent="0.2">
      <c r="A109" s="1974"/>
      <c r="B109" s="1750"/>
      <c r="C109" s="1750"/>
      <c r="D109" s="1750"/>
      <c r="E109" s="1750"/>
      <c r="F109" s="1750"/>
      <c r="G109" s="1750"/>
      <c r="H109" s="1750"/>
      <c r="I109" s="1750"/>
      <c r="J109" s="1750"/>
      <c r="N109" s="1976"/>
      <c r="O109" s="1750"/>
    </row>
    <row r="110" spans="1:15" x14ac:dyDescent="0.2">
      <c r="A110" s="1974"/>
      <c r="B110" s="1750"/>
      <c r="C110" s="1750"/>
      <c r="D110" s="1750"/>
      <c r="E110" s="1750"/>
      <c r="F110" s="1750"/>
      <c r="G110" s="1750"/>
      <c r="H110" s="1750"/>
      <c r="I110" s="1750"/>
      <c r="J110" s="1750"/>
      <c r="N110" s="1976"/>
      <c r="O110" s="1750"/>
    </row>
    <row r="111" spans="1:15" x14ac:dyDescent="0.2">
      <c r="A111" s="1974"/>
      <c r="B111" s="1750"/>
      <c r="C111" s="1750"/>
      <c r="D111" s="1750"/>
      <c r="E111" s="1750"/>
      <c r="F111" s="1750"/>
      <c r="G111" s="1750"/>
      <c r="H111" s="1750"/>
      <c r="I111" s="1750"/>
      <c r="J111" s="1750"/>
      <c r="N111" s="1976"/>
      <c r="O111" s="1750"/>
    </row>
    <row r="112" spans="1:15" x14ac:dyDescent="0.2">
      <c r="A112" s="1974"/>
      <c r="B112" s="1750"/>
      <c r="C112" s="1750"/>
      <c r="D112" s="1750"/>
      <c r="E112" s="1750"/>
      <c r="F112" s="1750"/>
      <c r="G112" s="1750"/>
      <c r="H112" s="1750"/>
      <c r="I112" s="1750"/>
      <c r="J112" s="1750"/>
      <c r="N112" s="1976"/>
      <c r="O112" s="1750"/>
    </row>
    <row r="113" spans="1:15" x14ac:dyDescent="0.2">
      <c r="A113" s="1974"/>
      <c r="B113" s="1750"/>
      <c r="C113" s="1750"/>
      <c r="D113" s="1750"/>
      <c r="E113" s="1750"/>
      <c r="F113" s="1750"/>
      <c r="G113" s="1750"/>
      <c r="H113" s="1750"/>
      <c r="I113" s="1750"/>
      <c r="J113" s="1750"/>
      <c r="N113" s="1976"/>
      <c r="O113" s="1750"/>
    </row>
    <row r="114" spans="1:15" x14ac:dyDescent="0.2">
      <c r="A114" s="1974"/>
      <c r="B114" s="1750"/>
      <c r="C114" s="1750"/>
      <c r="D114" s="1750"/>
      <c r="E114" s="1750"/>
      <c r="F114" s="1750"/>
      <c r="G114" s="1750"/>
      <c r="H114" s="1750"/>
      <c r="I114" s="1750"/>
      <c r="J114" s="1750"/>
      <c r="N114" s="1976"/>
      <c r="O114" s="1750"/>
    </row>
    <row r="115" spans="1:15" x14ac:dyDescent="0.2">
      <c r="A115" s="1974"/>
      <c r="B115" s="1750"/>
      <c r="C115" s="1750"/>
      <c r="D115" s="1750"/>
      <c r="E115" s="1750"/>
      <c r="F115" s="1750"/>
      <c r="G115" s="1750"/>
      <c r="H115" s="1750"/>
      <c r="I115" s="1750"/>
      <c r="J115" s="1750"/>
      <c r="N115" s="1976"/>
      <c r="O115" s="1750"/>
    </row>
    <row r="116" spans="1:15" x14ac:dyDescent="0.2">
      <c r="A116" s="1974"/>
      <c r="B116" s="1750"/>
      <c r="C116" s="1750"/>
      <c r="D116" s="1750"/>
      <c r="E116" s="1750"/>
      <c r="F116" s="1750"/>
      <c r="G116" s="1750"/>
      <c r="H116" s="1750"/>
      <c r="I116" s="1750"/>
      <c r="J116" s="1750"/>
      <c r="N116" s="1976"/>
      <c r="O116" s="1750"/>
    </row>
    <row r="117" spans="1:15" ht="12" thickBot="1" x14ac:dyDescent="0.25">
      <c r="A117" s="1975"/>
      <c r="B117" s="1750"/>
      <c r="C117" s="1750"/>
      <c r="D117" s="1750"/>
      <c r="E117" s="1750"/>
      <c r="F117" s="1750"/>
      <c r="G117" s="1750"/>
      <c r="H117" s="1750"/>
      <c r="I117" s="1750"/>
      <c r="J117" s="1750"/>
      <c r="N117" s="1976"/>
      <c r="O117" s="1750"/>
    </row>
    <row r="118" spans="1:15" x14ac:dyDescent="0.2">
      <c r="A118" s="1969"/>
      <c r="B118" s="1750"/>
      <c r="C118" s="1750"/>
      <c r="D118" s="1750"/>
      <c r="E118" s="1750"/>
      <c r="F118" s="1750"/>
      <c r="G118" s="1750"/>
      <c r="H118" s="1750"/>
      <c r="I118" s="1750"/>
      <c r="J118" s="1750"/>
      <c r="N118" s="1976"/>
      <c r="O118" s="1750"/>
    </row>
    <row r="119" spans="1:15" x14ac:dyDescent="0.2">
      <c r="A119" s="1963"/>
      <c r="B119" s="1750"/>
      <c r="C119" s="1750"/>
      <c r="D119" s="1750"/>
      <c r="E119" s="1750"/>
      <c r="F119" s="1750"/>
      <c r="G119" s="1750"/>
      <c r="H119" s="1750"/>
      <c r="I119" s="1750"/>
      <c r="J119" s="1750"/>
      <c r="N119" s="1976"/>
      <c r="O119" s="1750"/>
    </row>
    <row r="120" spans="1:15" x14ac:dyDescent="0.2">
      <c r="A120" s="1963"/>
      <c r="B120" s="1750"/>
      <c r="C120" s="1750"/>
      <c r="D120" s="1750"/>
      <c r="E120" s="1750"/>
      <c r="F120" s="1750"/>
      <c r="G120" s="1750"/>
      <c r="H120" s="1750"/>
      <c r="I120" s="1750"/>
      <c r="J120" s="1750"/>
      <c r="N120" s="1976"/>
      <c r="O120" s="1750"/>
    </row>
    <row r="121" spans="1:15" x14ac:dyDescent="0.2">
      <c r="A121" s="1963"/>
      <c r="B121" s="1750"/>
      <c r="C121" s="1750"/>
      <c r="D121" s="1750"/>
      <c r="E121" s="1750"/>
      <c r="F121" s="1750"/>
      <c r="G121" s="1750"/>
      <c r="H121" s="1750"/>
      <c r="I121" s="1750"/>
      <c r="J121" s="1750"/>
      <c r="N121" s="1976"/>
      <c r="O121" s="1750"/>
    </row>
    <row r="122" spans="1:15" x14ac:dyDescent="0.2">
      <c r="A122" s="1963"/>
      <c r="B122" s="1750"/>
      <c r="C122" s="1750"/>
      <c r="D122" s="1750"/>
      <c r="E122" s="1750"/>
      <c r="F122" s="1750"/>
      <c r="G122" s="1750"/>
      <c r="H122" s="1750"/>
      <c r="I122" s="1750"/>
      <c r="J122" s="1750"/>
      <c r="N122" s="1976"/>
      <c r="O122" s="1750"/>
    </row>
    <row r="123" spans="1:15" x14ac:dyDescent="0.2">
      <c r="A123" s="1963"/>
      <c r="B123" s="1750"/>
      <c r="C123" s="1750"/>
      <c r="D123" s="1750"/>
      <c r="E123" s="1750"/>
      <c r="F123" s="1750"/>
      <c r="G123" s="1750"/>
      <c r="H123" s="1750"/>
      <c r="I123" s="1750"/>
      <c r="J123" s="1750"/>
      <c r="N123" s="1976"/>
      <c r="O123" s="1750"/>
    </row>
    <row r="124" spans="1:15" x14ac:dyDescent="0.2">
      <c r="A124" s="1963"/>
      <c r="B124" s="1750"/>
      <c r="C124" s="1750"/>
      <c r="D124" s="1750"/>
      <c r="E124" s="1750"/>
      <c r="F124" s="1750"/>
      <c r="G124" s="1750"/>
      <c r="H124" s="1750"/>
      <c r="I124" s="1750"/>
      <c r="J124" s="1750"/>
      <c r="N124" s="1976"/>
      <c r="O124" s="1750"/>
    </row>
    <row r="125" spans="1:15" x14ac:dyDescent="0.2">
      <c r="A125" s="1963"/>
      <c r="B125" s="1750"/>
      <c r="C125" s="1750"/>
      <c r="D125" s="1750"/>
      <c r="E125" s="1750"/>
      <c r="F125" s="1750"/>
      <c r="G125" s="1750"/>
      <c r="H125" s="1750"/>
      <c r="I125" s="1750"/>
      <c r="J125" s="1750"/>
      <c r="N125" s="1976"/>
      <c r="O125" s="1750"/>
    </row>
    <row r="126" spans="1:15" ht="12" thickBot="1" x14ac:dyDescent="0.25">
      <c r="A126" s="1965"/>
      <c r="B126" s="1750"/>
      <c r="C126" s="1750"/>
      <c r="D126" s="1750"/>
      <c r="E126" s="1750"/>
      <c r="F126" s="1750"/>
      <c r="G126" s="1750"/>
      <c r="H126" s="1750"/>
      <c r="I126" s="1750"/>
      <c r="J126" s="1750"/>
      <c r="N126" s="1976"/>
      <c r="O126" s="1750"/>
    </row>
    <row r="127" spans="1:15" x14ac:dyDescent="0.2">
      <c r="A127" s="1969"/>
      <c r="B127" s="1750"/>
      <c r="C127" s="1750"/>
      <c r="D127" s="1750"/>
      <c r="E127" s="1750"/>
      <c r="F127" s="1750"/>
      <c r="G127" s="1750"/>
      <c r="H127" s="1750"/>
      <c r="I127" s="1750"/>
      <c r="J127" s="1750"/>
      <c r="N127" s="1976"/>
      <c r="O127" s="1750"/>
    </row>
    <row r="128" spans="1:15" x14ac:dyDescent="0.2">
      <c r="A128" s="1963"/>
      <c r="B128" s="1750"/>
      <c r="C128" s="1750"/>
      <c r="D128" s="1750"/>
      <c r="E128" s="1750"/>
      <c r="F128" s="1750"/>
      <c r="G128" s="1750"/>
      <c r="H128" s="1750"/>
      <c r="I128" s="1750"/>
      <c r="J128" s="1750"/>
      <c r="N128" s="1976"/>
      <c r="O128" s="1750"/>
    </row>
    <row r="129" spans="1:15" ht="12" thickBot="1" x14ac:dyDescent="0.25">
      <c r="A129" s="1965"/>
      <c r="B129" s="1750"/>
      <c r="C129" s="1750"/>
      <c r="D129" s="1750"/>
      <c r="E129" s="1750"/>
      <c r="F129" s="1750"/>
      <c r="G129" s="1750"/>
      <c r="H129" s="1750"/>
      <c r="I129" s="1750"/>
      <c r="J129" s="1750"/>
      <c r="N129" s="1976"/>
      <c r="O129" s="1750"/>
    </row>
    <row r="130" spans="1:15" x14ac:dyDescent="0.2">
      <c r="A130" s="1969"/>
      <c r="B130" s="1750"/>
      <c r="C130" s="1750"/>
      <c r="D130" s="1750"/>
      <c r="E130" s="1750"/>
      <c r="F130" s="1750"/>
      <c r="G130" s="1750"/>
      <c r="H130" s="1750"/>
      <c r="I130" s="1750"/>
      <c r="J130" s="1750"/>
      <c r="N130" s="1976"/>
      <c r="O130" s="1750"/>
    </row>
    <row r="131" spans="1:15" x14ac:dyDescent="0.2">
      <c r="A131" s="1963"/>
      <c r="B131" s="1750"/>
      <c r="C131" s="1750"/>
      <c r="D131" s="1750"/>
      <c r="E131" s="1750"/>
      <c r="F131" s="1750"/>
      <c r="G131" s="1750"/>
      <c r="H131" s="1750"/>
      <c r="I131" s="1750"/>
      <c r="J131" s="1750"/>
      <c r="N131" s="1976"/>
      <c r="O131" s="1750"/>
    </row>
    <row r="132" spans="1:15" x14ac:dyDescent="0.2">
      <c r="A132" s="1963"/>
      <c r="B132" s="1750"/>
      <c r="C132" s="1750"/>
      <c r="D132" s="1750"/>
      <c r="E132" s="1750"/>
      <c r="F132" s="1750"/>
      <c r="G132" s="1750"/>
      <c r="H132" s="1750"/>
      <c r="I132" s="1750"/>
      <c r="J132" s="1750"/>
      <c r="N132" s="1976"/>
      <c r="O132" s="1750"/>
    </row>
    <row r="133" spans="1:15" x14ac:dyDescent="0.2">
      <c r="A133" s="1963"/>
      <c r="B133" s="1750"/>
      <c r="C133" s="1750"/>
      <c r="D133" s="1750"/>
      <c r="E133" s="1750"/>
      <c r="F133" s="1750"/>
      <c r="G133" s="1750"/>
      <c r="H133" s="1750"/>
      <c r="I133" s="1750"/>
      <c r="J133" s="1750"/>
      <c r="N133" s="1976"/>
      <c r="O133" s="1750"/>
    </row>
    <row r="134" spans="1:15" x14ac:dyDescent="0.2">
      <c r="A134" s="1963"/>
      <c r="B134" s="1750"/>
      <c r="C134" s="1750"/>
      <c r="D134" s="1750"/>
      <c r="E134" s="1750"/>
      <c r="F134" s="1750"/>
      <c r="G134" s="1750"/>
      <c r="H134" s="1750"/>
      <c r="I134" s="1750"/>
      <c r="J134" s="1750"/>
      <c r="N134" s="1976"/>
      <c r="O134" s="1750"/>
    </row>
    <row r="135" spans="1:15" x14ac:dyDescent="0.2">
      <c r="A135" s="1963"/>
      <c r="B135" s="1750"/>
      <c r="C135" s="1750"/>
      <c r="D135" s="1750"/>
      <c r="E135" s="1750"/>
      <c r="F135" s="1750"/>
      <c r="G135" s="1750"/>
      <c r="H135" s="1750"/>
      <c r="I135" s="1750"/>
      <c r="J135" s="1750"/>
      <c r="N135" s="1976"/>
      <c r="O135" s="1750"/>
    </row>
    <row r="136" spans="1:15" x14ac:dyDescent="0.2">
      <c r="A136" s="1963"/>
      <c r="B136" s="1750"/>
      <c r="C136" s="1750"/>
      <c r="D136" s="1750"/>
      <c r="E136" s="1750"/>
      <c r="F136" s="1750"/>
      <c r="G136" s="1750"/>
      <c r="H136" s="1750"/>
      <c r="I136" s="1750"/>
      <c r="J136" s="1750"/>
      <c r="N136" s="1976"/>
      <c r="O136" s="1750"/>
    </row>
    <row r="137" spans="1:15" x14ac:dyDescent="0.2">
      <c r="A137" s="1963"/>
      <c r="B137" s="1750"/>
      <c r="C137" s="1750"/>
      <c r="D137" s="1750"/>
      <c r="E137" s="1750"/>
      <c r="F137" s="1750"/>
      <c r="G137" s="1750"/>
      <c r="H137" s="1750"/>
      <c r="I137" s="1750"/>
      <c r="J137" s="1750"/>
      <c r="N137" s="1976"/>
      <c r="O137" s="1750"/>
    </row>
    <row r="138" spans="1:15" ht="12" thickBot="1" x14ac:dyDescent="0.25">
      <c r="A138" s="1965"/>
      <c r="B138" s="1750"/>
      <c r="C138" s="1750"/>
      <c r="D138" s="1750"/>
      <c r="E138" s="1750"/>
      <c r="F138" s="1750"/>
      <c r="G138" s="1750"/>
      <c r="H138" s="1750"/>
      <c r="I138" s="1750"/>
      <c r="J138" s="1750"/>
      <c r="N138" s="1976"/>
      <c r="O138" s="1750"/>
    </row>
    <row r="139" spans="1:15" x14ac:dyDescent="0.2">
      <c r="A139" s="1963"/>
      <c r="B139" s="1750"/>
      <c r="C139" s="1750"/>
      <c r="D139" s="1750"/>
      <c r="E139" s="1750"/>
      <c r="F139" s="1750"/>
      <c r="G139" s="1750"/>
      <c r="H139" s="1750"/>
      <c r="I139" s="1750"/>
      <c r="J139" s="1750"/>
      <c r="N139" s="1976"/>
      <c r="O139" s="1750"/>
    </row>
    <row r="140" spans="1:15" x14ac:dyDescent="0.2">
      <c r="A140" s="1963"/>
      <c r="B140" s="1750"/>
      <c r="C140" s="1750"/>
      <c r="D140" s="1750"/>
      <c r="E140" s="1750"/>
      <c r="F140" s="1750"/>
      <c r="G140" s="1750"/>
      <c r="H140" s="1750"/>
      <c r="I140" s="1750"/>
      <c r="J140" s="1750"/>
      <c r="N140" s="1976"/>
      <c r="O140" s="1750"/>
    </row>
    <row r="141" spans="1:15" ht="12" thickBot="1" x14ac:dyDescent="0.25">
      <c r="A141" s="1965"/>
      <c r="B141" s="1750"/>
      <c r="C141" s="1750"/>
      <c r="D141" s="1750"/>
      <c r="E141" s="1750"/>
      <c r="F141" s="1750"/>
      <c r="G141" s="1750"/>
      <c r="H141" s="1750"/>
      <c r="I141" s="1750"/>
      <c r="J141" s="1750"/>
      <c r="N141" s="1976"/>
      <c r="O141" s="1750"/>
    </row>
    <row r="142" spans="1:15" x14ac:dyDescent="0.2">
      <c r="A142" s="1969"/>
      <c r="B142" s="1750"/>
      <c r="C142" s="1750"/>
      <c r="D142" s="1750"/>
      <c r="E142" s="1750"/>
      <c r="F142" s="1750"/>
      <c r="G142" s="1750"/>
      <c r="H142" s="1750"/>
      <c r="I142" s="1750"/>
      <c r="J142" s="1750"/>
      <c r="N142" s="1976"/>
      <c r="O142" s="1750"/>
    </row>
    <row r="143" spans="1:15" x14ac:dyDescent="0.2">
      <c r="A143" s="1963"/>
      <c r="B143" s="1750"/>
      <c r="C143" s="1750"/>
      <c r="D143" s="1750"/>
      <c r="E143" s="1750"/>
      <c r="F143" s="1750"/>
      <c r="G143" s="1750"/>
      <c r="H143" s="1750"/>
      <c r="I143" s="1750"/>
      <c r="J143" s="1750"/>
      <c r="N143" s="1976"/>
      <c r="O143" s="1750"/>
    </row>
    <row r="144" spans="1:15" x14ac:dyDescent="0.2">
      <c r="A144" s="1963"/>
      <c r="B144" s="1750"/>
      <c r="C144" s="1750"/>
      <c r="D144" s="1750"/>
      <c r="E144" s="1750"/>
      <c r="F144" s="1750"/>
      <c r="G144" s="1750"/>
      <c r="H144" s="1750"/>
      <c r="I144" s="1750"/>
      <c r="J144" s="1750"/>
      <c r="N144" s="1976"/>
      <c r="O144" s="1750"/>
    </row>
    <row r="145" spans="1:15" x14ac:dyDescent="0.2">
      <c r="A145" s="1963"/>
      <c r="B145" s="1750"/>
      <c r="C145" s="1750"/>
      <c r="D145" s="1750"/>
      <c r="E145" s="1750"/>
      <c r="F145" s="1750"/>
      <c r="G145" s="1750"/>
      <c r="H145" s="1750"/>
      <c r="I145" s="1750"/>
      <c r="J145" s="1750"/>
      <c r="N145" s="1976"/>
      <c r="O145" s="1750"/>
    </row>
    <row r="146" spans="1:15" x14ac:dyDescent="0.2">
      <c r="A146" s="1963"/>
      <c r="B146" s="1750"/>
      <c r="C146" s="1750"/>
      <c r="D146" s="1750"/>
      <c r="E146" s="1750"/>
      <c r="F146" s="1750"/>
      <c r="G146" s="1750"/>
      <c r="H146" s="1750"/>
      <c r="I146" s="1750"/>
      <c r="J146" s="1750"/>
      <c r="N146" s="1976"/>
      <c r="O146" s="1750"/>
    </row>
    <row r="147" spans="1:15" x14ac:dyDescent="0.2">
      <c r="A147" s="1963"/>
      <c r="B147" s="1750"/>
      <c r="C147" s="1750"/>
      <c r="D147" s="1750"/>
      <c r="E147" s="1750"/>
      <c r="F147" s="1750"/>
      <c r="G147" s="1750"/>
      <c r="H147" s="1750"/>
      <c r="I147" s="1750"/>
      <c r="J147" s="1750"/>
      <c r="N147" s="1976"/>
      <c r="O147" s="1750"/>
    </row>
    <row r="148" spans="1:15" x14ac:dyDescent="0.2">
      <c r="A148" s="1963"/>
      <c r="B148" s="1750"/>
      <c r="C148" s="1750"/>
      <c r="D148" s="1750"/>
      <c r="E148" s="1750"/>
      <c r="F148" s="1750"/>
      <c r="G148" s="1750"/>
      <c r="H148" s="1750"/>
      <c r="I148" s="1750"/>
      <c r="J148" s="1750"/>
      <c r="N148" s="1976"/>
      <c r="O148" s="1750"/>
    </row>
    <row r="149" spans="1:15" x14ac:dyDescent="0.2">
      <c r="A149" s="1963"/>
      <c r="B149" s="1750"/>
      <c r="C149" s="1750"/>
      <c r="D149" s="1750"/>
      <c r="E149" s="1750"/>
      <c r="F149" s="1750"/>
      <c r="G149" s="1750"/>
      <c r="H149" s="1750"/>
      <c r="I149" s="1750"/>
      <c r="J149" s="1750"/>
      <c r="N149" s="1976"/>
      <c r="O149" s="1750"/>
    </row>
    <row r="150" spans="1:15" x14ac:dyDescent="0.2">
      <c r="A150" s="1963"/>
      <c r="B150" s="1750"/>
      <c r="C150" s="1750"/>
      <c r="D150" s="1750"/>
      <c r="E150" s="1750"/>
      <c r="F150" s="1750"/>
      <c r="G150" s="1750"/>
      <c r="H150" s="1750"/>
      <c r="I150" s="1750"/>
      <c r="J150" s="1750"/>
      <c r="N150" s="1976"/>
      <c r="O150" s="1750"/>
    </row>
    <row r="151" spans="1:15" x14ac:dyDescent="0.2">
      <c r="A151" s="1963"/>
      <c r="B151" s="1750"/>
      <c r="C151" s="1750"/>
      <c r="D151" s="1750"/>
      <c r="E151" s="1750"/>
      <c r="F151" s="1750"/>
      <c r="G151" s="1750"/>
      <c r="H151" s="1750"/>
      <c r="I151" s="1750"/>
      <c r="J151" s="1750"/>
      <c r="N151" s="1976"/>
      <c r="O151" s="1750"/>
    </row>
    <row r="152" spans="1:15" x14ac:dyDescent="0.2">
      <c r="A152" s="1963"/>
      <c r="B152" s="1750"/>
      <c r="C152" s="1750"/>
      <c r="D152" s="1750"/>
      <c r="E152" s="1750"/>
      <c r="F152" s="1750"/>
      <c r="G152" s="1750"/>
      <c r="H152" s="1750"/>
      <c r="I152" s="1750"/>
      <c r="J152" s="1750"/>
      <c r="N152" s="1976"/>
      <c r="O152" s="1750"/>
    </row>
    <row r="153" spans="1:15" ht="12" thickBot="1" x14ac:dyDescent="0.25">
      <c r="A153" s="1965"/>
      <c r="B153" s="1750"/>
      <c r="C153" s="1750"/>
      <c r="D153" s="1750"/>
      <c r="E153" s="1750"/>
      <c r="F153" s="1750"/>
      <c r="G153" s="1750"/>
      <c r="H153" s="1750"/>
      <c r="I153" s="1750"/>
      <c r="J153" s="1750"/>
      <c r="N153" s="1976"/>
      <c r="O153" s="1750"/>
    </row>
    <row r="154" spans="1:15" x14ac:dyDescent="0.2">
      <c r="A154" s="1969"/>
      <c r="B154" s="1750"/>
      <c r="C154" s="1750"/>
      <c r="D154" s="1750"/>
      <c r="E154" s="1750"/>
      <c r="F154" s="1750"/>
      <c r="G154" s="1750"/>
      <c r="H154" s="1750"/>
      <c r="I154" s="1750"/>
      <c r="J154" s="1750"/>
      <c r="N154" s="1976"/>
      <c r="O154" s="1750"/>
    </row>
    <row r="155" spans="1:15" x14ac:dyDescent="0.2">
      <c r="A155" s="1963"/>
      <c r="B155" s="1750"/>
      <c r="C155" s="1750"/>
      <c r="D155" s="1750"/>
      <c r="E155" s="1750"/>
      <c r="F155" s="1750"/>
      <c r="G155" s="1750"/>
      <c r="H155" s="1750"/>
      <c r="I155" s="1750"/>
      <c r="J155" s="1750"/>
      <c r="N155" s="1976"/>
      <c r="O155" s="1750"/>
    </row>
    <row r="156" spans="1:15" x14ac:dyDescent="0.2">
      <c r="A156" s="1963"/>
      <c r="B156" s="1750"/>
      <c r="C156" s="1750"/>
      <c r="D156" s="1750"/>
      <c r="E156" s="1750"/>
      <c r="F156" s="1750"/>
      <c r="G156" s="1750"/>
      <c r="H156" s="1750"/>
      <c r="I156" s="1750"/>
      <c r="J156" s="1750"/>
      <c r="N156" s="1976"/>
      <c r="O156" s="1750"/>
    </row>
    <row r="157" spans="1:15" x14ac:dyDescent="0.2">
      <c r="A157" s="1963"/>
      <c r="B157" s="1750"/>
      <c r="C157" s="1750"/>
      <c r="D157" s="1750"/>
      <c r="E157" s="1750"/>
      <c r="F157" s="1750"/>
      <c r="G157" s="1750"/>
      <c r="H157" s="1750"/>
      <c r="I157" s="1750"/>
      <c r="J157" s="1750"/>
      <c r="N157" s="1976"/>
      <c r="O157" s="1750"/>
    </row>
    <row r="158" spans="1:15" x14ac:dyDescent="0.2">
      <c r="A158" s="1963"/>
      <c r="B158" s="1750"/>
      <c r="C158" s="1750"/>
      <c r="D158" s="1750"/>
      <c r="E158" s="1750"/>
      <c r="F158" s="1750"/>
      <c r="G158" s="1750"/>
      <c r="H158" s="1750"/>
      <c r="I158" s="1750"/>
      <c r="J158" s="1750"/>
      <c r="N158" s="1976"/>
      <c r="O158" s="1750"/>
    </row>
    <row r="159" spans="1:15" ht="12" thickBot="1" x14ac:dyDescent="0.25">
      <c r="A159" s="1963"/>
      <c r="B159" s="1750"/>
      <c r="C159" s="1750"/>
      <c r="D159" s="1750"/>
      <c r="E159" s="1750"/>
      <c r="F159" s="1750"/>
      <c r="G159" s="1750"/>
      <c r="H159" s="1750"/>
      <c r="I159" s="1750"/>
      <c r="J159" s="1750"/>
      <c r="N159" s="1976"/>
      <c r="O159" s="1750"/>
    </row>
    <row r="160" spans="1:15" x14ac:dyDescent="0.2">
      <c r="A160" s="1969"/>
      <c r="B160" s="1750"/>
      <c r="C160" s="1750"/>
      <c r="D160" s="1750"/>
      <c r="E160" s="1750"/>
      <c r="F160" s="1750"/>
      <c r="G160" s="1750"/>
      <c r="H160" s="1750"/>
      <c r="I160" s="1750"/>
      <c r="J160" s="1750"/>
      <c r="N160" s="1976"/>
      <c r="O160" s="1750"/>
    </row>
    <row r="161" spans="1:15" x14ac:dyDescent="0.2">
      <c r="A161" s="1963"/>
      <c r="B161" s="1750"/>
      <c r="C161" s="1750"/>
      <c r="D161" s="1750"/>
      <c r="E161" s="1750"/>
      <c r="F161" s="1750"/>
      <c r="G161" s="1750"/>
      <c r="H161" s="1750"/>
      <c r="I161" s="1750"/>
      <c r="J161" s="1750"/>
      <c r="N161" s="1976"/>
      <c r="O161" s="1750"/>
    </row>
    <row r="162" spans="1:15" x14ac:dyDescent="0.2">
      <c r="A162" s="1963"/>
      <c r="B162" s="1750"/>
      <c r="C162" s="1750"/>
      <c r="D162" s="1750"/>
      <c r="E162" s="1750"/>
      <c r="F162" s="1750"/>
      <c r="G162" s="1750"/>
      <c r="H162" s="1750"/>
      <c r="I162" s="1750"/>
      <c r="J162" s="1750"/>
      <c r="N162" s="1976"/>
      <c r="O162" s="1750"/>
    </row>
    <row r="163" spans="1:15" x14ac:dyDescent="0.2">
      <c r="A163" s="1963"/>
      <c r="B163" s="1750"/>
      <c r="C163" s="1750"/>
      <c r="D163" s="1750"/>
      <c r="E163" s="1750"/>
      <c r="F163" s="1750"/>
      <c r="G163" s="1750"/>
      <c r="H163" s="1750"/>
      <c r="I163" s="1750"/>
      <c r="J163" s="1750"/>
      <c r="N163" s="1976"/>
      <c r="O163" s="1750"/>
    </row>
    <row r="164" spans="1:15" x14ac:dyDescent="0.2">
      <c r="A164" s="1963"/>
      <c r="B164" s="1750"/>
      <c r="C164" s="1750"/>
      <c r="D164" s="1750"/>
      <c r="E164" s="1750"/>
      <c r="F164" s="1750"/>
      <c r="G164" s="1750"/>
      <c r="H164" s="1750"/>
      <c r="I164" s="1750"/>
      <c r="J164" s="1750"/>
      <c r="N164" s="1976"/>
      <c r="O164" s="1750"/>
    </row>
    <row r="165" spans="1:15" ht="12" thickBot="1" x14ac:dyDescent="0.25">
      <c r="A165" s="1965"/>
      <c r="B165" s="1750"/>
      <c r="C165" s="1750"/>
      <c r="D165" s="1750"/>
      <c r="E165" s="1750"/>
      <c r="F165" s="1750"/>
      <c r="G165" s="1750"/>
      <c r="H165" s="1750"/>
      <c r="I165" s="1750"/>
      <c r="J165" s="1750"/>
      <c r="N165" s="1976"/>
      <c r="O165" s="1750"/>
    </row>
    <row r="166" spans="1:15" x14ac:dyDescent="0.2">
      <c r="A166" s="1969"/>
      <c r="B166" s="1750"/>
      <c r="C166" s="1750"/>
      <c r="D166" s="1750"/>
      <c r="E166" s="1750"/>
      <c r="F166" s="1750"/>
      <c r="G166" s="1750"/>
      <c r="H166" s="1750"/>
      <c r="I166" s="1750"/>
      <c r="J166" s="1750"/>
      <c r="N166" s="1976"/>
      <c r="O166" s="1750"/>
    </row>
    <row r="167" spans="1:15" x14ac:dyDescent="0.2">
      <c r="A167" s="1963"/>
      <c r="B167" s="1750"/>
      <c r="C167" s="1750"/>
      <c r="D167" s="1750"/>
      <c r="E167" s="1750"/>
      <c r="F167" s="1750"/>
      <c r="G167" s="1750"/>
      <c r="H167" s="1750"/>
      <c r="I167" s="1750"/>
      <c r="J167" s="1750"/>
      <c r="N167" s="1976"/>
      <c r="O167" s="1750"/>
    </row>
    <row r="168" spans="1:15" ht="12" thickBot="1" x14ac:dyDescent="0.25">
      <c r="A168" s="1965"/>
      <c r="B168" s="1750"/>
      <c r="C168" s="1750"/>
      <c r="D168" s="1750"/>
      <c r="E168" s="1750"/>
      <c r="F168" s="1750"/>
      <c r="G168" s="1750"/>
      <c r="H168" s="1750"/>
      <c r="I168" s="1750"/>
      <c r="J168" s="1750"/>
      <c r="N168" s="1976"/>
      <c r="O168" s="1750"/>
    </row>
    <row r="169" spans="1:15" x14ac:dyDescent="0.2">
      <c r="A169" s="1969"/>
      <c r="B169" s="1750"/>
      <c r="C169" s="1750"/>
      <c r="D169" s="1750"/>
      <c r="E169" s="1750"/>
      <c r="F169" s="1750"/>
      <c r="G169" s="1750"/>
      <c r="H169" s="1750"/>
      <c r="I169" s="1750"/>
      <c r="J169" s="1750"/>
      <c r="N169" s="1976"/>
      <c r="O169" s="1750"/>
    </row>
    <row r="170" spans="1:15" x14ac:dyDescent="0.2">
      <c r="A170" s="1963"/>
      <c r="B170" s="1750"/>
      <c r="C170" s="1750"/>
      <c r="D170" s="1750"/>
      <c r="E170" s="1750"/>
      <c r="F170" s="1750"/>
      <c r="G170" s="1750"/>
      <c r="H170" s="1750"/>
      <c r="I170" s="1750"/>
      <c r="J170" s="1750"/>
      <c r="N170" s="1976"/>
      <c r="O170" s="1750"/>
    </row>
    <row r="171" spans="1:15" x14ac:dyDescent="0.2">
      <c r="A171" s="1963"/>
      <c r="B171" s="1750"/>
      <c r="C171" s="1750"/>
      <c r="D171" s="1750"/>
      <c r="E171" s="1750"/>
      <c r="F171" s="1750"/>
      <c r="G171" s="1750"/>
      <c r="H171" s="1750"/>
      <c r="I171" s="1750"/>
      <c r="J171" s="1750"/>
      <c r="N171" s="1976"/>
      <c r="O171" s="1750"/>
    </row>
    <row r="172" spans="1:15" x14ac:dyDescent="0.2">
      <c r="A172" s="1963"/>
      <c r="B172" s="1750"/>
      <c r="C172" s="1750"/>
      <c r="D172" s="1750"/>
      <c r="E172" s="1750"/>
      <c r="F172" s="1750"/>
      <c r="G172" s="1750"/>
      <c r="H172" s="1750"/>
      <c r="I172" s="1750"/>
      <c r="J172" s="1750"/>
      <c r="N172" s="1976"/>
      <c r="O172" s="1750"/>
    </row>
    <row r="173" spans="1:15" x14ac:dyDescent="0.2">
      <c r="A173" s="1963"/>
      <c r="B173" s="1750"/>
      <c r="C173" s="1750"/>
      <c r="D173" s="1750"/>
      <c r="E173" s="1750"/>
      <c r="F173" s="1750"/>
      <c r="G173" s="1750"/>
      <c r="H173" s="1750"/>
      <c r="I173" s="1750"/>
      <c r="J173" s="1750"/>
      <c r="N173" s="1976"/>
      <c r="O173" s="1750"/>
    </row>
    <row r="174" spans="1:15" x14ac:dyDescent="0.2">
      <c r="A174" s="1963"/>
      <c r="B174" s="1750"/>
      <c r="C174" s="1750"/>
      <c r="D174" s="1750"/>
      <c r="E174" s="1750"/>
      <c r="F174" s="1750"/>
      <c r="G174" s="1750"/>
      <c r="H174" s="1750"/>
      <c r="I174" s="1750"/>
      <c r="J174" s="1750"/>
      <c r="N174" s="1976"/>
      <c r="O174" s="1750"/>
    </row>
    <row r="175" spans="1:15" x14ac:dyDescent="0.2">
      <c r="A175" s="1963"/>
      <c r="B175" s="1750"/>
      <c r="C175" s="1750"/>
      <c r="D175" s="1750"/>
      <c r="E175" s="1750"/>
      <c r="F175" s="1750"/>
      <c r="G175" s="1750"/>
      <c r="H175" s="1750"/>
      <c r="I175" s="1750"/>
      <c r="J175" s="1750"/>
      <c r="N175" s="1976"/>
      <c r="O175" s="1750"/>
    </row>
    <row r="176" spans="1:15" x14ac:dyDescent="0.2">
      <c r="A176" s="1963"/>
      <c r="B176" s="1750"/>
      <c r="C176" s="1750"/>
      <c r="D176" s="1750"/>
      <c r="E176" s="1750"/>
      <c r="F176" s="1750"/>
      <c r="G176" s="1750"/>
      <c r="H176" s="1750"/>
      <c r="I176" s="1750"/>
      <c r="J176" s="1750"/>
      <c r="N176" s="1976"/>
      <c r="O176" s="1750"/>
    </row>
    <row r="177" spans="1:15" ht="12" thickBot="1" x14ac:dyDescent="0.25">
      <c r="A177" s="1965"/>
      <c r="B177" s="1750"/>
      <c r="C177" s="1750"/>
      <c r="D177" s="1750"/>
      <c r="E177" s="1750"/>
      <c r="F177" s="1750"/>
      <c r="G177" s="1750"/>
      <c r="H177" s="1750"/>
      <c r="I177" s="1750"/>
      <c r="J177" s="1750"/>
      <c r="N177" s="1976"/>
      <c r="O177" s="1750"/>
    </row>
    <row r="178" spans="1:15" x14ac:dyDescent="0.2">
      <c r="A178" s="1969"/>
      <c r="B178" s="1750"/>
      <c r="C178" s="1750"/>
      <c r="D178" s="1750"/>
      <c r="E178" s="1750"/>
      <c r="F178" s="1750"/>
      <c r="G178" s="1750"/>
      <c r="H178" s="1750"/>
      <c r="I178" s="1750"/>
      <c r="J178" s="1750"/>
      <c r="N178" s="1976"/>
      <c r="O178" s="1750"/>
    </row>
    <row r="179" spans="1:15" x14ac:dyDescent="0.2">
      <c r="A179" s="1963"/>
      <c r="B179" s="1750"/>
      <c r="C179" s="1750"/>
      <c r="D179" s="1750"/>
      <c r="E179" s="1750"/>
      <c r="F179" s="1750"/>
      <c r="G179" s="1750"/>
      <c r="H179" s="1750"/>
      <c r="I179" s="1750"/>
      <c r="J179" s="1750"/>
      <c r="N179" s="1976"/>
      <c r="O179" s="1750"/>
    </row>
    <row r="180" spans="1:15" x14ac:dyDescent="0.2">
      <c r="A180" s="1963"/>
      <c r="B180" s="1750"/>
      <c r="C180" s="1750"/>
      <c r="D180" s="1750"/>
      <c r="E180" s="1750"/>
      <c r="F180" s="1750"/>
      <c r="G180" s="1750"/>
      <c r="H180" s="1750"/>
      <c r="I180" s="1750"/>
      <c r="J180" s="1750"/>
      <c r="N180" s="1976"/>
      <c r="O180" s="1750"/>
    </row>
    <row r="181" spans="1:15" x14ac:dyDescent="0.2">
      <c r="A181" s="1963"/>
      <c r="B181" s="1750"/>
      <c r="C181" s="1750"/>
      <c r="D181" s="1750"/>
      <c r="E181" s="1750"/>
      <c r="F181" s="1750"/>
      <c r="G181" s="1750"/>
      <c r="H181" s="1750"/>
      <c r="I181" s="1750"/>
      <c r="J181" s="1750"/>
      <c r="N181" s="1976"/>
      <c r="O181" s="1750"/>
    </row>
    <row r="182" spans="1:15" x14ac:dyDescent="0.2">
      <c r="A182" s="1963"/>
      <c r="B182" s="1750"/>
      <c r="C182" s="1750"/>
      <c r="D182" s="1750"/>
      <c r="E182" s="1750"/>
      <c r="F182" s="1750"/>
      <c r="G182" s="1750"/>
      <c r="H182" s="1750"/>
      <c r="I182" s="1750"/>
      <c r="J182" s="1750"/>
      <c r="N182" s="1976"/>
      <c r="O182" s="1750"/>
    </row>
    <row r="183" spans="1:15" x14ac:dyDescent="0.2">
      <c r="A183" s="1963"/>
      <c r="B183" s="1750"/>
      <c r="C183" s="1750"/>
      <c r="D183" s="1750"/>
      <c r="E183" s="1750"/>
      <c r="F183" s="1750"/>
      <c r="G183" s="1750"/>
      <c r="H183" s="1750"/>
      <c r="I183" s="1750"/>
      <c r="J183" s="1750"/>
      <c r="N183" s="1976"/>
      <c r="O183" s="1750"/>
    </row>
    <row r="184" spans="1:15" x14ac:dyDescent="0.2">
      <c r="A184" s="1963"/>
      <c r="B184" s="1750"/>
      <c r="C184" s="1750"/>
      <c r="D184" s="1750"/>
      <c r="E184" s="1750"/>
      <c r="F184" s="1750"/>
      <c r="G184" s="1750"/>
      <c r="H184" s="1750"/>
      <c r="I184" s="1750"/>
      <c r="J184" s="1750"/>
      <c r="N184" s="1976"/>
      <c r="O184" s="1750"/>
    </row>
    <row r="185" spans="1:15" x14ac:dyDescent="0.2">
      <c r="A185" s="1963"/>
      <c r="B185" s="1750"/>
      <c r="C185" s="1750"/>
      <c r="D185" s="1750"/>
      <c r="E185" s="1750"/>
      <c r="F185" s="1750"/>
      <c r="G185" s="1750"/>
      <c r="H185" s="1750"/>
      <c r="I185" s="1750"/>
      <c r="J185" s="1750"/>
      <c r="N185" s="1976"/>
      <c r="O185" s="1750"/>
    </row>
    <row r="186" spans="1:15" x14ac:dyDescent="0.2">
      <c r="A186" s="1963"/>
      <c r="B186" s="1750"/>
      <c r="C186" s="1750"/>
      <c r="D186" s="1750"/>
      <c r="E186" s="1750"/>
      <c r="F186" s="1750"/>
      <c r="G186" s="1750"/>
      <c r="H186" s="1750"/>
      <c r="I186" s="1750"/>
      <c r="J186" s="1750"/>
      <c r="N186" s="1976"/>
      <c r="O186" s="1750"/>
    </row>
    <row r="187" spans="1:15" x14ac:dyDescent="0.2">
      <c r="A187" s="1963"/>
      <c r="B187" s="1750"/>
      <c r="C187" s="1750"/>
      <c r="D187" s="1750"/>
      <c r="E187" s="1750"/>
      <c r="F187" s="1750"/>
      <c r="G187" s="1750"/>
      <c r="H187" s="1750"/>
      <c r="I187" s="1750"/>
      <c r="J187" s="1750"/>
      <c r="N187" s="1976"/>
      <c r="O187" s="1750"/>
    </row>
    <row r="188" spans="1:15" x14ac:dyDescent="0.2">
      <c r="A188" s="1963"/>
      <c r="B188" s="1750"/>
      <c r="C188" s="1750"/>
      <c r="D188" s="1750"/>
      <c r="E188" s="1750"/>
      <c r="F188" s="1750"/>
      <c r="G188" s="1750"/>
      <c r="H188" s="1750"/>
      <c r="I188" s="1750"/>
      <c r="J188" s="1750"/>
      <c r="N188" s="1976"/>
      <c r="O188" s="1750"/>
    </row>
    <row r="189" spans="1:15" ht="12" thickBot="1" x14ac:dyDescent="0.25">
      <c r="A189" s="1965"/>
      <c r="B189" s="1750"/>
      <c r="C189" s="1750"/>
      <c r="D189" s="1750"/>
      <c r="E189" s="1750"/>
      <c r="F189" s="1750"/>
      <c r="G189" s="1750"/>
      <c r="H189" s="1750"/>
      <c r="I189" s="1750"/>
      <c r="J189" s="1750"/>
      <c r="N189" s="1976"/>
      <c r="O189" s="1750"/>
    </row>
    <row r="190" spans="1:15" x14ac:dyDescent="0.2">
      <c r="B190" s="1750"/>
      <c r="C190" s="1750"/>
      <c r="D190" s="1750"/>
      <c r="E190" s="1750"/>
      <c r="F190" s="1750"/>
      <c r="G190" s="1750"/>
      <c r="H190" s="1750"/>
      <c r="I190" s="1750"/>
      <c r="J190" s="1750"/>
      <c r="N190" s="1976"/>
      <c r="O190" s="1750"/>
    </row>
    <row r="191" spans="1:15" x14ac:dyDescent="0.2">
      <c r="B191" s="1750"/>
      <c r="C191" s="1750"/>
      <c r="D191" s="1750"/>
      <c r="E191" s="1750"/>
      <c r="F191" s="1750"/>
      <c r="G191" s="1750"/>
      <c r="H191" s="1750"/>
      <c r="I191" s="1750"/>
      <c r="J191" s="1750"/>
      <c r="N191" s="1976"/>
      <c r="O191" s="1750"/>
    </row>
    <row r="192" spans="1:15" x14ac:dyDescent="0.2">
      <c r="B192" s="1750"/>
      <c r="C192" s="1750"/>
      <c r="D192" s="1750"/>
      <c r="E192" s="1750"/>
      <c r="F192" s="1750"/>
      <c r="G192" s="1750"/>
      <c r="H192" s="1750"/>
      <c r="I192" s="1750"/>
      <c r="J192" s="1750"/>
      <c r="N192" s="1976"/>
      <c r="O192" s="1750"/>
    </row>
    <row r="193" spans="1:15" x14ac:dyDescent="0.2">
      <c r="B193" s="1750"/>
      <c r="C193" s="1750"/>
      <c r="D193" s="1750"/>
      <c r="E193" s="1750"/>
      <c r="F193" s="1750"/>
      <c r="G193" s="1750"/>
      <c r="H193" s="1750"/>
      <c r="I193" s="1750"/>
      <c r="J193" s="1750"/>
      <c r="N193" s="1976"/>
      <c r="O193" s="1750"/>
    </row>
    <row r="194" spans="1:15" x14ac:dyDescent="0.2">
      <c r="B194" s="1750"/>
      <c r="C194" s="1750"/>
      <c r="D194" s="1750"/>
      <c r="E194" s="1750"/>
      <c r="F194" s="1750"/>
      <c r="G194" s="1750"/>
      <c r="H194" s="1750"/>
      <c r="I194" s="1750"/>
      <c r="J194" s="1750"/>
      <c r="N194" s="1976"/>
      <c r="O194" s="1750"/>
    </row>
    <row r="195" spans="1:15" x14ac:dyDescent="0.2">
      <c r="B195" s="1750"/>
      <c r="C195" s="1750"/>
      <c r="D195" s="1750"/>
      <c r="E195" s="1750"/>
      <c r="F195" s="1750"/>
      <c r="G195" s="1750"/>
      <c r="H195" s="1750"/>
      <c r="I195" s="1750"/>
      <c r="J195" s="1750"/>
      <c r="N195" s="1976"/>
      <c r="O195" s="1750"/>
    </row>
    <row r="196" spans="1:15" x14ac:dyDescent="0.2">
      <c r="B196" s="1750"/>
      <c r="C196" s="1750"/>
      <c r="D196" s="1750"/>
      <c r="E196" s="1750"/>
      <c r="F196" s="1750"/>
      <c r="G196" s="1750"/>
      <c r="H196" s="1750"/>
      <c r="I196" s="1750"/>
      <c r="J196" s="1750"/>
      <c r="N196" s="1976"/>
      <c r="O196" s="1750"/>
    </row>
    <row r="197" spans="1:15" x14ac:dyDescent="0.2">
      <c r="B197" s="1750"/>
      <c r="C197" s="1750"/>
      <c r="D197" s="1750"/>
      <c r="E197" s="1750"/>
      <c r="F197" s="1750"/>
      <c r="G197" s="1750"/>
      <c r="H197" s="1750"/>
      <c r="I197" s="1750"/>
      <c r="J197" s="1750"/>
      <c r="N197" s="1976"/>
      <c r="O197" s="1750"/>
    </row>
    <row r="198" spans="1:15" x14ac:dyDescent="0.2">
      <c r="B198" s="1750"/>
      <c r="C198" s="1750"/>
      <c r="D198" s="1750"/>
      <c r="E198" s="1750"/>
      <c r="F198" s="1750"/>
      <c r="G198" s="1750"/>
      <c r="H198" s="1750"/>
      <c r="I198" s="1750"/>
      <c r="J198" s="1750"/>
      <c r="N198" s="1976"/>
      <c r="O198" s="1750"/>
    </row>
    <row r="199" spans="1:15" x14ac:dyDescent="0.2">
      <c r="B199" s="1750"/>
      <c r="C199" s="1750"/>
      <c r="D199" s="1750"/>
      <c r="E199" s="1750"/>
      <c r="F199" s="1750"/>
      <c r="G199" s="1750"/>
      <c r="H199" s="1750"/>
      <c r="I199" s="1750"/>
      <c r="J199" s="1750"/>
      <c r="N199" s="1976"/>
      <c r="O199" s="1750"/>
    </row>
    <row r="200" spans="1:15" x14ac:dyDescent="0.2">
      <c r="B200" s="1750"/>
      <c r="C200" s="1750"/>
      <c r="D200" s="1750"/>
      <c r="E200" s="1750"/>
      <c r="F200" s="1750"/>
      <c r="G200" s="1750"/>
      <c r="H200" s="1750"/>
      <c r="I200" s="1750"/>
      <c r="J200" s="1750"/>
      <c r="N200" s="1976"/>
      <c r="O200" s="1750"/>
    </row>
    <row r="201" spans="1:15" ht="12" thickBot="1" x14ac:dyDescent="0.25">
      <c r="B201" s="1750"/>
      <c r="C201" s="1750"/>
      <c r="D201" s="1750"/>
      <c r="E201" s="1750"/>
      <c r="F201" s="1750"/>
      <c r="G201" s="1750"/>
      <c r="H201" s="1750"/>
      <c r="I201" s="1750"/>
      <c r="J201" s="1750"/>
      <c r="N201" s="1976"/>
      <c r="O201" s="1750"/>
    </row>
    <row r="202" spans="1:15" x14ac:dyDescent="0.2">
      <c r="A202" s="1969"/>
      <c r="B202" s="1750"/>
      <c r="C202" s="1750"/>
      <c r="D202" s="1750"/>
      <c r="E202" s="1750"/>
      <c r="F202" s="1750"/>
      <c r="G202" s="1750"/>
      <c r="H202" s="1750"/>
      <c r="I202" s="1750"/>
      <c r="J202" s="1750"/>
      <c r="N202" s="1976"/>
      <c r="O202" s="1750"/>
    </row>
    <row r="203" spans="1:15" x14ac:dyDescent="0.2">
      <c r="A203" s="1963"/>
      <c r="B203" s="1750"/>
      <c r="C203" s="1750"/>
      <c r="D203" s="1750"/>
      <c r="E203" s="1750"/>
      <c r="F203" s="1750"/>
      <c r="G203" s="1750"/>
      <c r="H203" s="1750"/>
      <c r="I203" s="1750"/>
      <c r="J203" s="1750"/>
      <c r="N203" s="1976"/>
      <c r="O203" s="1750"/>
    </row>
    <row r="204" spans="1:15" x14ac:dyDescent="0.2">
      <c r="A204" s="1963"/>
      <c r="B204" s="1750"/>
      <c r="C204" s="1750"/>
      <c r="D204" s="1750"/>
      <c r="E204" s="1750"/>
      <c r="F204" s="1750"/>
      <c r="G204" s="1750"/>
      <c r="H204" s="1750"/>
      <c r="I204" s="1750"/>
      <c r="J204" s="1750"/>
      <c r="N204" s="1976"/>
      <c r="O204" s="1750"/>
    </row>
    <row r="205" spans="1:15" x14ac:dyDescent="0.2">
      <c r="A205" s="1963"/>
      <c r="B205" s="1750"/>
      <c r="C205" s="1750"/>
      <c r="D205" s="1750"/>
      <c r="E205" s="1750"/>
      <c r="F205" s="1750"/>
      <c r="G205" s="1750"/>
      <c r="H205" s="1750"/>
      <c r="I205" s="1750"/>
      <c r="J205" s="1750"/>
      <c r="N205" s="1976"/>
      <c r="O205" s="1750"/>
    </row>
    <row r="206" spans="1:15" x14ac:dyDescent="0.2">
      <c r="A206" s="1963"/>
      <c r="B206" s="1750"/>
      <c r="C206" s="1750"/>
      <c r="D206" s="1750"/>
      <c r="E206" s="1750"/>
      <c r="F206" s="1750"/>
      <c r="G206" s="1750"/>
      <c r="H206" s="1750"/>
      <c r="I206" s="1750"/>
      <c r="J206" s="1750"/>
      <c r="N206" s="1976"/>
      <c r="O206" s="1750"/>
    </row>
    <row r="207" spans="1:15" x14ac:dyDescent="0.2">
      <c r="A207" s="1963"/>
      <c r="B207" s="1750"/>
      <c r="C207" s="1750"/>
      <c r="D207" s="1750"/>
      <c r="E207" s="1750"/>
      <c r="F207" s="1750"/>
      <c r="G207" s="1750"/>
      <c r="H207" s="1750"/>
      <c r="I207" s="1750"/>
      <c r="J207" s="1750"/>
      <c r="N207" s="1976"/>
      <c r="O207" s="1750"/>
    </row>
    <row r="208" spans="1:15" x14ac:dyDescent="0.2">
      <c r="A208" s="1963"/>
      <c r="B208" s="1750"/>
      <c r="C208" s="1750"/>
      <c r="D208" s="1750"/>
      <c r="E208" s="1750"/>
      <c r="F208" s="1750"/>
      <c r="G208" s="1750"/>
      <c r="H208" s="1750"/>
      <c r="I208" s="1750"/>
      <c r="J208" s="1750"/>
      <c r="N208" s="1976"/>
      <c r="O208" s="1750"/>
    </row>
    <row r="209" spans="1:15" x14ac:dyDescent="0.2">
      <c r="A209" s="1963"/>
      <c r="B209" s="1750"/>
      <c r="C209" s="1750"/>
      <c r="D209" s="1750"/>
      <c r="E209" s="1750"/>
      <c r="F209" s="1750"/>
      <c r="G209" s="1750"/>
      <c r="H209" s="1750"/>
      <c r="I209" s="1750"/>
      <c r="J209" s="1750"/>
      <c r="N209" s="1976"/>
      <c r="O209" s="1750"/>
    </row>
    <row r="210" spans="1:15" ht="12" thickBot="1" x14ac:dyDescent="0.25">
      <c r="A210" s="1965"/>
      <c r="B210" s="1750"/>
      <c r="C210" s="1750"/>
      <c r="D210" s="1750"/>
      <c r="E210" s="1750"/>
      <c r="F210" s="1750"/>
      <c r="G210" s="1750"/>
      <c r="H210" s="1750"/>
      <c r="I210" s="1750"/>
      <c r="J210" s="1750"/>
      <c r="N210" s="1976"/>
      <c r="O210" s="1750"/>
    </row>
    <row r="211" spans="1:15" x14ac:dyDescent="0.2">
      <c r="A211" s="1969"/>
      <c r="B211" s="1750"/>
      <c r="C211" s="1750"/>
      <c r="D211" s="1750"/>
      <c r="E211" s="1750"/>
      <c r="F211" s="1750"/>
      <c r="G211" s="1750"/>
      <c r="H211" s="1750"/>
      <c r="I211" s="1750"/>
      <c r="J211" s="1750"/>
      <c r="N211" s="1976"/>
      <c r="O211" s="1750"/>
    </row>
    <row r="212" spans="1:15" x14ac:dyDescent="0.2">
      <c r="A212" s="1963"/>
      <c r="B212" s="1750"/>
      <c r="C212" s="1750"/>
      <c r="D212" s="1750"/>
      <c r="E212" s="1750"/>
      <c r="F212" s="1750"/>
      <c r="G212" s="1750"/>
      <c r="H212" s="1750"/>
      <c r="I212" s="1750"/>
      <c r="J212" s="1750"/>
      <c r="N212" s="1976"/>
      <c r="O212" s="1750"/>
    </row>
    <row r="213" spans="1:15" x14ac:dyDescent="0.2">
      <c r="A213" s="1963"/>
      <c r="B213" s="1750"/>
      <c r="C213" s="1750"/>
      <c r="D213" s="1750"/>
      <c r="E213" s="1750"/>
      <c r="F213" s="1750"/>
      <c r="G213" s="1750"/>
      <c r="H213" s="1750"/>
      <c r="I213" s="1750"/>
      <c r="J213" s="1750"/>
      <c r="N213" s="1976"/>
      <c r="O213" s="1750"/>
    </row>
    <row r="214" spans="1:15" x14ac:dyDescent="0.2">
      <c r="A214" s="1963"/>
      <c r="B214" s="1750"/>
      <c r="C214" s="1750"/>
      <c r="D214" s="1750"/>
      <c r="E214" s="1750"/>
      <c r="F214" s="1750"/>
      <c r="G214" s="1750"/>
      <c r="H214" s="1750"/>
      <c r="I214" s="1750"/>
      <c r="J214" s="1750"/>
      <c r="N214" s="1976"/>
      <c r="O214" s="1750"/>
    </row>
    <row r="215" spans="1:15" x14ac:dyDescent="0.2">
      <c r="A215" s="1963"/>
      <c r="B215" s="1750"/>
      <c r="C215" s="1750"/>
      <c r="D215" s="1750"/>
      <c r="E215" s="1750"/>
      <c r="F215" s="1750"/>
      <c r="G215" s="1750"/>
      <c r="H215" s="1750"/>
      <c r="I215" s="1750"/>
      <c r="J215" s="1750"/>
      <c r="N215" s="1976"/>
      <c r="O215" s="1750"/>
    </row>
    <row r="216" spans="1:15" x14ac:dyDescent="0.2">
      <c r="A216" s="1963"/>
      <c r="B216" s="1750"/>
      <c r="C216" s="1750"/>
      <c r="D216" s="1750"/>
      <c r="E216" s="1750"/>
      <c r="F216" s="1750"/>
      <c r="G216" s="1750"/>
      <c r="H216" s="1750"/>
      <c r="I216" s="1750"/>
      <c r="J216" s="1750"/>
      <c r="N216" s="1976"/>
      <c r="O216" s="1750"/>
    </row>
    <row r="217" spans="1:15" x14ac:dyDescent="0.2">
      <c r="A217" s="1963"/>
      <c r="B217" s="1750"/>
      <c r="C217" s="1750"/>
      <c r="D217" s="1750"/>
      <c r="E217" s="1750"/>
      <c r="F217" s="1750"/>
      <c r="G217" s="1750"/>
      <c r="H217" s="1750"/>
      <c r="I217" s="1750"/>
      <c r="J217" s="1750"/>
      <c r="N217" s="1976"/>
      <c r="O217" s="1750"/>
    </row>
    <row r="218" spans="1:15" x14ac:dyDescent="0.2">
      <c r="A218" s="1963"/>
      <c r="B218" s="1750"/>
      <c r="C218" s="1750"/>
      <c r="D218" s="1750"/>
      <c r="E218" s="1750"/>
      <c r="F218" s="1750"/>
      <c r="G218" s="1750"/>
      <c r="H218" s="1750"/>
      <c r="I218" s="1750"/>
      <c r="J218" s="1750"/>
      <c r="N218" s="1976"/>
      <c r="O218" s="1750"/>
    </row>
    <row r="219" spans="1:15" x14ac:dyDescent="0.2">
      <c r="A219" s="1963"/>
      <c r="B219" s="1750"/>
      <c r="C219" s="1750"/>
      <c r="D219" s="1750"/>
      <c r="E219" s="1750"/>
      <c r="F219" s="1750"/>
      <c r="G219" s="1750"/>
      <c r="H219" s="1750"/>
      <c r="I219" s="1750"/>
      <c r="J219" s="1750"/>
      <c r="N219" s="1976"/>
      <c r="O219" s="1750"/>
    </row>
    <row r="220" spans="1:15" x14ac:dyDescent="0.2">
      <c r="A220" s="1963"/>
      <c r="B220" s="1750"/>
      <c r="C220" s="1750"/>
      <c r="D220" s="1750"/>
      <c r="E220" s="1750"/>
      <c r="F220" s="1750"/>
      <c r="G220" s="1750"/>
      <c r="H220" s="1750"/>
      <c r="I220" s="1750"/>
      <c r="J220" s="1750"/>
      <c r="N220" s="1976"/>
      <c r="O220" s="1750"/>
    </row>
    <row r="221" spans="1:15" x14ac:dyDescent="0.2">
      <c r="A221" s="1963"/>
      <c r="B221" s="1750"/>
      <c r="C221" s="1750"/>
      <c r="D221" s="1750"/>
      <c r="E221" s="1750"/>
      <c r="F221" s="1750"/>
      <c r="G221" s="1750"/>
      <c r="H221" s="1750"/>
      <c r="I221" s="1750"/>
      <c r="J221" s="1750"/>
      <c r="N221" s="1976"/>
      <c r="O221" s="1750"/>
    </row>
    <row r="222" spans="1:15" ht="12" thickBot="1" x14ac:dyDescent="0.25">
      <c r="A222" s="1965"/>
      <c r="B222" s="1750"/>
      <c r="C222" s="1750"/>
      <c r="D222" s="1750"/>
      <c r="E222" s="1750"/>
      <c r="F222" s="1750"/>
      <c r="G222" s="1750"/>
      <c r="H222" s="1750"/>
      <c r="I222" s="1750"/>
      <c r="J222" s="1750"/>
      <c r="N222" s="1976"/>
      <c r="O222" s="1750"/>
    </row>
    <row r="223" spans="1:15" x14ac:dyDescent="0.2">
      <c r="B223" s="1750"/>
      <c r="C223" s="1750"/>
      <c r="D223" s="1750"/>
      <c r="E223" s="1750"/>
      <c r="F223" s="1750"/>
      <c r="G223" s="1750"/>
      <c r="H223" s="1750"/>
      <c r="I223" s="1750"/>
      <c r="J223" s="1750"/>
      <c r="N223" s="1976"/>
      <c r="O223" s="1750"/>
    </row>
    <row r="224" spans="1:15" x14ac:dyDescent="0.2">
      <c r="B224" s="1750"/>
      <c r="C224" s="1750"/>
      <c r="D224" s="1750"/>
      <c r="E224" s="1750"/>
      <c r="F224" s="1750"/>
      <c r="G224" s="1750"/>
      <c r="H224" s="1750"/>
      <c r="I224" s="1750"/>
      <c r="J224" s="1750"/>
      <c r="N224" s="1976"/>
      <c r="O224" s="1750"/>
    </row>
    <row r="225" spans="2:15" x14ac:dyDescent="0.2">
      <c r="B225" s="1750"/>
      <c r="C225" s="1750"/>
      <c r="D225" s="1750"/>
      <c r="E225" s="1750"/>
      <c r="F225" s="1750"/>
      <c r="G225" s="1750"/>
      <c r="H225" s="1750"/>
      <c r="I225" s="1750"/>
      <c r="J225" s="1750"/>
      <c r="N225" s="1976"/>
      <c r="O225" s="1750"/>
    </row>
    <row r="226" spans="2:15" x14ac:dyDescent="0.2">
      <c r="B226" s="1750"/>
      <c r="C226" s="1750"/>
      <c r="D226" s="1750"/>
      <c r="E226" s="1750"/>
      <c r="F226" s="1750"/>
      <c r="G226" s="1750"/>
      <c r="H226" s="1750"/>
      <c r="I226" s="1750"/>
      <c r="J226" s="1750"/>
      <c r="N226" s="1976"/>
      <c r="O226" s="1750"/>
    </row>
    <row r="227" spans="2:15" x14ac:dyDescent="0.2">
      <c r="B227" s="1750"/>
      <c r="C227" s="1750"/>
      <c r="D227" s="1750"/>
      <c r="E227" s="1750"/>
      <c r="F227" s="1750"/>
      <c r="G227" s="1750"/>
      <c r="H227" s="1750"/>
      <c r="I227" s="1750"/>
      <c r="J227" s="1750"/>
      <c r="N227" s="1976"/>
      <c r="O227" s="1750"/>
    </row>
    <row r="228" spans="2:15" x14ac:dyDescent="0.2">
      <c r="B228" s="1750"/>
      <c r="C228" s="1750"/>
      <c r="D228" s="1750"/>
      <c r="E228" s="1750"/>
      <c r="F228" s="1750"/>
      <c r="G228" s="1750"/>
      <c r="H228" s="1750"/>
      <c r="I228" s="1750"/>
      <c r="J228" s="1750"/>
      <c r="N228" s="1976"/>
      <c r="O228" s="1750"/>
    </row>
    <row r="229" spans="2:15" x14ac:dyDescent="0.2">
      <c r="B229" s="1750"/>
      <c r="C229" s="1750"/>
      <c r="D229" s="1750"/>
      <c r="E229" s="1750"/>
      <c r="F229" s="1750"/>
      <c r="G229" s="1750"/>
      <c r="H229" s="1750"/>
      <c r="I229" s="1750"/>
      <c r="J229" s="1750"/>
      <c r="N229" s="1976"/>
      <c r="O229" s="1750"/>
    </row>
    <row r="230" spans="2:15" x14ac:dyDescent="0.2">
      <c r="B230" s="1750"/>
      <c r="C230" s="1750"/>
      <c r="D230" s="1750"/>
      <c r="E230" s="1750"/>
      <c r="F230" s="1750"/>
      <c r="G230" s="1750"/>
      <c r="H230" s="1750"/>
      <c r="I230" s="1750"/>
      <c r="J230" s="1750"/>
      <c r="N230" s="1976"/>
      <c r="O230" s="1750"/>
    </row>
    <row r="231" spans="2:15" x14ac:dyDescent="0.2">
      <c r="B231" s="1750"/>
      <c r="C231" s="1750"/>
      <c r="D231" s="1750"/>
      <c r="E231" s="1750"/>
      <c r="F231" s="1750"/>
      <c r="G231" s="1750"/>
      <c r="H231" s="1750"/>
      <c r="I231" s="1750"/>
      <c r="J231" s="1750"/>
      <c r="N231" s="1976"/>
      <c r="O231" s="1750"/>
    </row>
    <row r="232" spans="2:15" x14ac:dyDescent="0.2">
      <c r="B232" s="1750"/>
      <c r="C232" s="1750"/>
      <c r="D232" s="1750"/>
      <c r="E232" s="1750"/>
      <c r="F232" s="1750"/>
      <c r="G232" s="1750"/>
      <c r="H232" s="1750"/>
      <c r="I232" s="1750"/>
      <c r="J232" s="1750"/>
      <c r="N232" s="1976"/>
      <c r="O232" s="1750"/>
    </row>
    <row r="233" spans="2:15" x14ac:dyDescent="0.2">
      <c r="B233" s="1750"/>
      <c r="C233" s="1750"/>
      <c r="D233" s="1750"/>
      <c r="E233" s="1750"/>
      <c r="F233" s="1750"/>
      <c r="G233" s="1750"/>
      <c r="H233" s="1750"/>
      <c r="I233" s="1750"/>
      <c r="J233" s="1750"/>
      <c r="N233" s="1976"/>
      <c r="O233" s="1750"/>
    </row>
    <row r="234" spans="2:15" x14ac:dyDescent="0.2">
      <c r="B234" s="1750"/>
      <c r="C234" s="1750"/>
      <c r="D234" s="1750"/>
      <c r="E234" s="1750"/>
      <c r="F234" s="1750"/>
      <c r="G234" s="1750"/>
      <c r="H234" s="1750"/>
      <c r="I234" s="1750"/>
      <c r="J234" s="1750"/>
      <c r="N234" s="1976"/>
      <c r="O234" s="1750"/>
    </row>
    <row r="235" spans="2:15" x14ac:dyDescent="0.2">
      <c r="B235" s="1750"/>
      <c r="C235" s="1750"/>
      <c r="D235" s="1750"/>
      <c r="E235" s="1750"/>
      <c r="F235" s="1750"/>
      <c r="G235" s="1750"/>
      <c r="H235" s="1750"/>
      <c r="I235" s="1750"/>
      <c r="J235" s="1750"/>
      <c r="N235" s="1976"/>
      <c r="O235" s="1750"/>
    </row>
    <row r="236" spans="2:15" x14ac:dyDescent="0.2">
      <c r="B236" s="1750"/>
      <c r="C236" s="1750"/>
      <c r="D236" s="1750"/>
      <c r="E236" s="1750"/>
      <c r="F236" s="1750"/>
      <c r="G236" s="1750"/>
      <c r="H236" s="1750"/>
      <c r="I236" s="1750"/>
      <c r="J236" s="1750"/>
      <c r="N236" s="1976"/>
      <c r="O236" s="1750"/>
    </row>
    <row r="237" spans="2:15" x14ac:dyDescent="0.2">
      <c r="B237" s="1750"/>
      <c r="C237" s="1750"/>
      <c r="D237" s="1750"/>
      <c r="E237" s="1750"/>
      <c r="F237" s="1750"/>
      <c r="G237" s="1750"/>
      <c r="H237" s="1750"/>
      <c r="I237" s="1750"/>
      <c r="J237" s="1750"/>
      <c r="N237" s="1976"/>
      <c r="O237" s="1750"/>
    </row>
    <row r="238" spans="2:15" x14ac:dyDescent="0.2">
      <c r="B238" s="1750"/>
      <c r="C238" s="1750"/>
      <c r="D238" s="1750"/>
      <c r="E238" s="1750"/>
      <c r="F238" s="1750"/>
      <c r="G238" s="1750"/>
      <c r="H238" s="1750"/>
      <c r="I238" s="1750"/>
      <c r="J238" s="1750"/>
      <c r="N238" s="1976"/>
      <c r="O238" s="1750"/>
    </row>
    <row r="239" spans="2:15" x14ac:dyDescent="0.2">
      <c r="B239" s="1750"/>
      <c r="C239" s="1750"/>
      <c r="D239" s="1750"/>
      <c r="E239" s="1750"/>
      <c r="F239" s="1750"/>
      <c r="G239" s="1750"/>
      <c r="H239" s="1750"/>
      <c r="I239" s="1750"/>
      <c r="J239" s="1750"/>
      <c r="N239" s="1976"/>
      <c r="O239" s="1750"/>
    </row>
    <row r="240" spans="2:15" x14ac:dyDescent="0.2">
      <c r="B240" s="1750"/>
      <c r="C240" s="1750"/>
      <c r="D240" s="1750"/>
      <c r="E240" s="1750"/>
      <c r="F240" s="1750"/>
      <c r="G240" s="1750"/>
      <c r="H240" s="1750"/>
      <c r="I240" s="1750"/>
      <c r="J240" s="1750"/>
      <c r="N240" s="1976"/>
      <c r="O240" s="1750"/>
    </row>
    <row r="241" spans="1:15" x14ac:dyDescent="0.2">
      <c r="B241" s="1750"/>
      <c r="C241" s="1750"/>
      <c r="D241" s="1750"/>
      <c r="E241" s="1750"/>
      <c r="F241" s="1750"/>
      <c r="G241" s="1750"/>
      <c r="H241" s="1750"/>
      <c r="I241" s="1750"/>
      <c r="J241" s="1750"/>
      <c r="N241" s="1976"/>
      <c r="O241" s="1750"/>
    </row>
    <row r="242" spans="1:15" x14ac:dyDescent="0.2">
      <c r="B242" s="1750"/>
      <c r="C242" s="1750"/>
      <c r="D242" s="1750"/>
      <c r="E242" s="1750"/>
      <c r="F242" s="1750"/>
      <c r="G242" s="1750"/>
      <c r="H242" s="1750"/>
      <c r="I242" s="1750"/>
      <c r="J242" s="1750"/>
      <c r="N242" s="1976"/>
      <c r="O242" s="1750"/>
    </row>
    <row r="243" spans="1:15" ht="12" thickBot="1" x14ac:dyDescent="0.25">
      <c r="B243" s="1750"/>
      <c r="C243" s="1750"/>
      <c r="D243" s="1750"/>
      <c r="E243" s="1750"/>
      <c r="F243" s="1750"/>
      <c r="G243" s="1750"/>
      <c r="H243" s="1750"/>
      <c r="I243" s="1750"/>
      <c r="J243" s="1750"/>
      <c r="N243" s="1976"/>
      <c r="O243" s="1750"/>
    </row>
    <row r="244" spans="1:15" x14ac:dyDescent="0.2">
      <c r="A244" s="1969"/>
      <c r="B244" s="1750"/>
      <c r="C244" s="1750"/>
      <c r="D244" s="1750"/>
      <c r="E244" s="1750"/>
      <c r="F244" s="1750"/>
      <c r="G244" s="1750"/>
      <c r="H244" s="1750"/>
      <c r="I244" s="1750"/>
      <c r="J244" s="1750"/>
      <c r="N244" s="1976"/>
      <c r="O244" s="1750"/>
    </row>
    <row r="245" spans="1:15" x14ac:dyDescent="0.2">
      <c r="A245" s="1963"/>
      <c r="B245" s="1750"/>
      <c r="C245" s="1750"/>
      <c r="D245" s="1750"/>
      <c r="E245" s="1750"/>
      <c r="F245" s="1750"/>
      <c r="G245" s="1750"/>
      <c r="H245" s="1750"/>
      <c r="I245" s="1750"/>
      <c r="J245" s="1750"/>
      <c r="N245" s="1976"/>
      <c r="O245" s="1750"/>
    </row>
    <row r="246" spans="1:15" x14ac:dyDescent="0.2">
      <c r="A246" s="1963"/>
      <c r="B246" s="1750"/>
      <c r="C246" s="1750"/>
      <c r="D246" s="1750"/>
      <c r="E246" s="1750"/>
      <c r="F246" s="1750"/>
      <c r="G246" s="1750"/>
      <c r="H246" s="1750"/>
      <c r="I246" s="1750"/>
      <c r="J246" s="1750"/>
      <c r="N246" s="1976"/>
      <c r="O246" s="1750"/>
    </row>
    <row r="247" spans="1:15" x14ac:dyDescent="0.2">
      <c r="A247" s="1963"/>
      <c r="B247" s="1750"/>
      <c r="C247" s="1750"/>
      <c r="D247" s="1750"/>
      <c r="E247" s="1750"/>
      <c r="F247" s="1750"/>
      <c r="G247" s="1750"/>
      <c r="H247" s="1750"/>
      <c r="I247" s="1750"/>
      <c r="J247" s="1750"/>
      <c r="N247" s="1976"/>
      <c r="O247" s="1750"/>
    </row>
    <row r="248" spans="1:15" x14ac:dyDescent="0.2">
      <c r="A248" s="1963"/>
      <c r="B248" s="1750"/>
      <c r="C248" s="1750"/>
      <c r="D248" s="1750"/>
      <c r="E248" s="1750"/>
      <c r="F248" s="1750"/>
      <c r="G248" s="1750"/>
      <c r="H248" s="1750"/>
      <c r="I248" s="1750"/>
      <c r="J248" s="1750"/>
      <c r="N248" s="1976"/>
      <c r="O248" s="1750"/>
    </row>
    <row r="249" spans="1:15" x14ac:dyDescent="0.2">
      <c r="A249" s="1963"/>
      <c r="B249" s="1750"/>
      <c r="C249" s="1750"/>
      <c r="D249" s="1750"/>
      <c r="E249" s="1750"/>
      <c r="F249" s="1750"/>
      <c r="G249" s="1750"/>
      <c r="H249" s="1750"/>
      <c r="I249" s="1750"/>
      <c r="J249" s="1750"/>
      <c r="N249" s="1976"/>
      <c r="O249" s="1750"/>
    </row>
    <row r="250" spans="1:15" x14ac:dyDescent="0.2">
      <c r="A250" s="1963"/>
      <c r="B250" s="1750"/>
      <c r="C250" s="1750"/>
      <c r="D250" s="1750"/>
      <c r="E250" s="1750"/>
      <c r="F250" s="1750"/>
      <c r="G250" s="1750"/>
      <c r="H250" s="1750"/>
      <c r="I250" s="1750"/>
      <c r="J250" s="1750"/>
      <c r="N250" s="1976"/>
      <c r="O250" s="1750"/>
    </row>
    <row r="251" spans="1:15" x14ac:dyDescent="0.2">
      <c r="A251" s="1963"/>
      <c r="B251" s="1750"/>
      <c r="C251" s="1750"/>
      <c r="D251" s="1750"/>
      <c r="E251" s="1750"/>
      <c r="F251" s="1750"/>
      <c r="G251" s="1750"/>
      <c r="H251" s="1750"/>
      <c r="I251" s="1750"/>
      <c r="J251" s="1750"/>
      <c r="N251" s="1976"/>
      <c r="O251" s="1750"/>
    </row>
    <row r="252" spans="1:15" ht="12" thickBot="1" x14ac:dyDescent="0.25">
      <c r="A252" s="1965"/>
      <c r="B252" s="1750"/>
      <c r="C252" s="1750"/>
      <c r="D252" s="1750"/>
      <c r="E252" s="1750"/>
      <c r="F252" s="1750"/>
      <c r="G252" s="1750"/>
      <c r="H252" s="1750"/>
      <c r="I252" s="1750"/>
      <c r="J252" s="1750"/>
      <c r="N252" s="1976"/>
      <c r="O252" s="1750"/>
    </row>
    <row r="253" spans="1:15" x14ac:dyDescent="0.2">
      <c r="A253" s="1969"/>
      <c r="B253" s="1750"/>
      <c r="C253" s="1750"/>
      <c r="D253" s="1750"/>
      <c r="E253" s="1750"/>
      <c r="F253" s="1750"/>
      <c r="G253" s="1750"/>
      <c r="H253" s="1750"/>
      <c r="I253" s="1750"/>
      <c r="J253" s="1750"/>
      <c r="N253" s="1976"/>
      <c r="O253" s="1750"/>
    </row>
    <row r="254" spans="1:15" x14ac:dyDescent="0.2">
      <c r="A254" s="1963"/>
      <c r="B254" s="1750"/>
      <c r="C254" s="1750"/>
      <c r="D254" s="1750"/>
      <c r="E254" s="1750"/>
      <c r="F254" s="1750"/>
      <c r="G254" s="1750"/>
      <c r="H254" s="1750"/>
      <c r="I254" s="1750"/>
      <c r="J254" s="1750"/>
      <c r="N254" s="1976"/>
      <c r="O254" s="1750"/>
    </row>
    <row r="255" spans="1:15" x14ac:dyDescent="0.2">
      <c r="A255" s="1963"/>
      <c r="B255" s="1750"/>
      <c r="C255" s="1750"/>
      <c r="D255" s="1750"/>
      <c r="E255" s="1750"/>
      <c r="F255" s="1750"/>
      <c r="G255" s="1750"/>
      <c r="H255" s="1750"/>
      <c r="I255" s="1750"/>
      <c r="J255" s="1750"/>
      <c r="N255" s="1976"/>
      <c r="O255" s="1750"/>
    </row>
    <row r="256" spans="1:15" x14ac:dyDescent="0.2">
      <c r="A256" s="1963"/>
      <c r="B256" s="1750"/>
      <c r="C256" s="1750"/>
      <c r="D256" s="1750"/>
      <c r="E256" s="1750"/>
      <c r="F256" s="1750"/>
      <c r="G256" s="1750"/>
      <c r="H256" s="1750"/>
      <c r="I256" s="1750"/>
      <c r="J256" s="1750"/>
      <c r="N256" s="1976"/>
      <c r="O256" s="1750"/>
    </row>
    <row r="257" spans="1:15" x14ac:dyDescent="0.2">
      <c r="A257" s="1963"/>
      <c r="B257" s="1750"/>
      <c r="C257" s="1750"/>
      <c r="D257" s="1750"/>
      <c r="E257" s="1750"/>
      <c r="F257" s="1750"/>
      <c r="G257" s="1750"/>
      <c r="H257" s="1750"/>
      <c r="I257" s="1750"/>
      <c r="J257" s="1750"/>
      <c r="N257" s="1976"/>
      <c r="O257" s="1750"/>
    </row>
    <row r="258" spans="1:15" x14ac:dyDescent="0.2">
      <c r="A258" s="1963"/>
      <c r="B258" s="1750"/>
      <c r="C258" s="1750"/>
      <c r="D258" s="1750"/>
      <c r="E258" s="1750"/>
      <c r="F258" s="1750"/>
      <c r="G258" s="1750"/>
      <c r="H258" s="1750"/>
      <c r="I258" s="1750"/>
      <c r="J258" s="1750"/>
      <c r="N258" s="1976"/>
      <c r="O258" s="1750"/>
    </row>
    <row r="259" spans="1:15" x14ac:dyDescent="0.2">
      <c r="A259" s="1963"/>
      <c r="B259" s="1750"/>
      <c r="C259" s="1750"/>
      <c r="D259" s="1750"/>
      <c r="E259" s="1750"/>
      <c r="F259" s="1750"/>
      <c r="G259" s="1750"/>
      <c r="H259" s="1750"/>
      <c r="I259" s="1750"/>
      <c r="J259" s="1750"/>
      <c r="N259" s="1976"/>
      <c r="O259" s="1750"/>
    </row>
    <row r="260" spans="1:15" x14ac:dyDescent="0.2">
      <c r="A260" s="1963"/>
      <c r="B260" s="1750"/>
      <c r="C260" s="1750"/>
      <c r="D260" s="1750"/>
      <c r="E260" s="1750"/>
      <c r="F260" s="1750"/>
      <c r="G260" s="1750"/>
      <c r="H260" s="1750"/>
      <c r="I260" s="1750"/>
      <c r="J260" s="1750"/>
      <c r="N260" s="1976"/>
      <c r="O260" s="1750"/>
    </row>
    <row r="261" spans="1:15" ht="12" thickBot="1" x14ac:dyDescent="0.25">
      <c r="A261" s="1965"/>
      <c r="B261" s="1750"/>
      <c r="C261" s="1750"/>
      <c r="D261" s="1750"/>
      <c r="E261" s="1750"/>
      <c r="F261" s="1750"/>
      <c r="G261" s="1750"/>
      <c r="H261" s="1750"/>
      <c r="I261" s="1750"/>
      <c r="J261" s="1750"/>
      <c r="N261" s="1976"/>
      <c r="O261" s="1750"/>
    </row>
    <row r="262" spans="1:15" x14ac:dyDescent="0.2">
      <c r="B262" s="1750"/>
      <c r="C262" s="1750"/>
      <c r="D262" s="1750"/>
      <c r="E262" s="1750"/>
      <c r="F262" s="1750"/>
      <c r="G262" s="1750"/>
      <c r="H262" s="1750"/>
      <c r="I262" s="1750"/>
      <c r="J262" s="1750"/>
      <c r="N262" s="1976"/>
      <c r="O262" s="1750"/>
    </row>
    <row r="263" spans="1:15" x14ac:dyDescent="0.2">
      <c r="B263" s="1750"/>
      <c r="C263" s="1750"/>
      <c r="D263" s="1750"/>
      <c r="E263" s="1750"/>
      <c r="F263" s="1750"/>
      <c r="G263" s="1750"/>
      <c r="H263" s="1750"/>
      <c r="I263" s="1750"/>
      <c r="J263" s="1750"/>
      <c r="N263" s="1976"/>
      <c r="O263" s="1750"/>
    </row>
    <row r="264" spans="1:15" x14ac:dyDescent="0.2">
      <c r="B264" s="1750"/>
      <c r="C264" s="1750"/>
      <c r="D264" s="1750"/>
      <c r="E264" s="1750"/>
      <c r="F264" s="1750"/>
      <c r="G264" s="1750"/>
      <c r="H264" s="1750"/>
      <c r="I264" s="1750"/>
      <c r="J264" s="1750"/>
      <c r="N264" s="1976"/>
      <c r="O264" s="1750"/>
    </row>
    <row r="265" spans="1:15" x14ac:dyDescent="0.2">
      <c r="B265" s="1750"/>
      <c r="C265" s="1750"/>
      <c r="D265" s="1750"/>
      <c r="E265" s="1750"/>
      <c r="F265" s="1750"/>
      <c r="G265" s="1750"/>
      <c r="H265" s="1750"/>
      <c r="I265" s="1750"/>
      <c r="J265" s="1750"/>
      <c r="N265" s="1976"/>
      <c r="O265" s="1750"/>
    </row>
    <row r="266" spans="1:15" x14ac:dyDescent="0.2">
      <c r="B266" s="1750"/>
      <c r="C266" s="1750"/>
      <c r="D266" s="1750"/>
      <c r="E266" s="1750"/>
      <c r="F266" s="1750"/>
      <c r="G266" s="1750"/>
      <c r="H266" s="1750"/>
      <c r="I266" s="1750"/>
      <c r="J266" s="1750"/>
      <c r="N266" s="1976"/>
      <c r="O266" s="1750"/>
    </row>
    <row r="267" spans="1:15" x14ac:dyDescent="0.2">
      <c r="B267" s="1750"/>
      <c r="C267" s="1750"/>
      <c r="D267" s="1750"/>
      <c r="E267" s="1750"/>
      <c r="F267" s="1750"/>
      <c r="G267" s="1750"/>
      <c r="H267" s="1750"/>
      <c r="I267" s="1750"/>
      <c r="J267" s="1750"/>
      <c r="N267" s="1976"/>
      <c r="O267" s="1750"/>
    </row>
    <row r="268" spans="1:15" x14ac:dyDescent="0.2">
      <c r="B268" s="1750"/>
      <c r="C268" s="1750"/>
      <c r="D268" s="1750"/>
      <c r="E268" s="1750"/>
      <c r="F268" s="1750"/>
      <c r="G268" s="1750"/>
      <c r="H268" s="1750"/>
      <c r="I268" s="1750"/>
      <c r="J268" s="1750"/>
      <c r="N268" s="1976"/>
      <c r="O268" s="1750"/>
    </row>
    <row r="269" spans="1:15" x14ac:dyDescent="0.2">
      <c r="B269" s="1750"/>
      <c r="C269" s="1750"/>
      <c r="D269" s="1750"/>
      <c r="E269" s="1750"/>
      <c r="F269" s="1750"/>
      <c r="G269" s="1750"/>
      <c r="H269" s="1750"/>
      <c r="I269" s="1750"/>
      <c r="J269" s="1750"/>
      <c r="N269" s="1976"/>
      <c r="O269" s="1750"/>
    </row>
    <row r="270" spans="1:15" x14ac:dyDescent="0.2">
      <c r="B270" s="1750"/>
      <c r="C270" s="1750"/>
      <c r="D270" s="1750"/>
      <c r="E270" s="1750"/>
      <c r="F270" s="1750"/>
      <c r="G270" s="1750"/>
      <c r="H270" s="1750"/>
      <c r="I270" s="1750"/>
      <c r="J270" s="1750"/>
      <c r="N270" s="1976"/>
      <c r="O270" s="1750"/>
    </row>
    <row r="271" spans="1:15" x14ac:dyDescent="0.2">
      <c r="B271" s="1750"/>
      <c r="C271" s="1750"/>
      <c r="D271" s="1750"/>
      <c r="E271" s="1750"/>
      <c r="F271" s="1750"/>
      <c r="G271" s="1750"/>
      <c r="H271" s="1750"/>
      <c r="I271" s="1750"/>
      <c r="J271" s="1750"/>
      <c r="N271" s="1976"/>
      <c r="O271" s="1750"/>
    </row>
    <row r="272" spans="1:15" x14ac:dyDescent="0.2">
      <c r="B272" s="1750"/>
      <c r="C272" s="1750"/>
      <c r="D272" s="1750"/>
      <c r="E272" s="1750"/>
      <c r="F272" s="1750"/>
      <c r="G272" s="1750"/>
      <c r="H272" s="1750"/>
      <c r="I272" s="1750"/>
      <c r="J272" s="1750"/>
      <c r="N272" s="1976"/>
      <c r="O272" s="1750"/>
    </row>
    <row r="273" spans="1:15" x14ac:dyDescent="0.2">
      <c r="B273" s="1750"/>
      <c r="C273" s="1750"/>
      <c r="D273" s="1750"/>
      <c r="E273" s="1750"/>
      <c r="F273" s="1750"/>
      <c r="G273" s="1750"/>
      <c r="H273" s="1750"/>
      <c r="I273" s="1750"/>
      <c r="J273" s="1750"/>
      <c r="N273" s="1976"/>
      <c r="O273" s="1750"/>
    </row>
    <row r="274" spans="1:15" x14ac:dyDescent="0.2">
      <c r="B274" s="1750"/>
      <c r="C274" s="1750"/>
      <c r="D274" s="1750"/>
      <c r="E274" s="1750"/>
      <c r="F274" s="1750"/>
      <c r="G274" s="1750"/>
      <c r="H274" s="1750"/>
      <c r="I274" s="1750"/>
      <c r="J274" s="1750"/>
      <c r="N274" s="1976"/>
      <c r="O274" s="1750"/>
    </row>
    <row r="275" spans="1:15" x14ac:dyDescent="0.2">
      <c r="B275" s="1750"/>
      <c r="C275" s="1750"/>
      <c r="D275" s="1750"/>
      <c r="E275" s="1750"/>
      <c r="F275" s="1750"/>
      <c r="G275" s="1750"/>
      <c r="H275" s="1750"/>
      <c r="I275" s="1750"/>
      <c r="J275" s="1750"/>
      <c r="N275" s="1976"/>
      <c r="O275" s="1750"/>
    </row>
    <row r="276" spans="1:15" x14ac:dyDescent="0.2">
      <c r="B276" s="1750"/>
      <c r="C276" s="1750"/>
      <c r="D276" s="1750"/>
      <c r="E276" s="1750"/>
      <c r="F276" s="1750"/>
      <c r="G276" s="1750"/>
      <c r="H276" s="1750"/>
      <c r="I276" s="1750"/>
      <c r="J276" s="1750"/>
      <c r="N276" s="1976"/>
      <c r="O276" s="1750"/>
    </row>
    <row r="277" spans="1:15" x14ac:dyDescent="0.2">
      <c r="B277" s="1750"/>
      <c r="C277" s="1750"/>
      <c r="D277" s="1750"/>
      <c r="E277" s="1750"/>
      <c r="F277" s="1750"/>
      <c r="G277" s="1750"/>
      <c r="H277" s="1750"/>
      <c r="I277" s="1750"/>
      <c r="J277" s="1750"/>
      <c r="N277" s="1976"/>
      <c r="O277" s="1750"/>
    </row>
    <row r="278" spans="1:15" x14ac:dyDescent="0.2">
      <c r="B278" s="1750"/>
      <c r="C278" s="1750"/>
      <c r="D278" s="1750"/>
      <c r="E278" s="1750"/>
      <c r="F278" s="1750"/>
      <c r="G278" s="1750"/>
      <c r="H278" s="1750"/>
      <c r="I278" s="1750"/>
      <c r="J278" s="1750"/>
      <c r="N278" s="1976"/>
      <c r="O278" s="1750"/>
    </row>
    <row r="279" spans="1:15" ht="12" thickBot="1" x14ac:dyDescent="0.25">
      <c r="B279" s="1750"/>
      <c r="C279" s="1750"/>
      <c r="D279" s="1750"/>
      <c r="E279" s="1750"/>
      <c r="F279" s="1750"/>
      <c r="G279" s="1750"/>
      <c r="H279" s="1750"/>
      <c r="I279" s="1750"/>
      <c r="J279" s="1750"/>
      <c r="N279" s="1976"/>
      <c r="O279" s="1750"/>
    </row>
    <row r="280" spans="1:15" x14ac:dyDescent="0.2">
      <c r="A280" s="1969"/>
      <c r="B280" s="1750"/>
      <c r="C280" s="1750"/>
      <c r="D280" s="1750"/>
      <c r="E280" s="1750"/>
      <c r="F280" s="1750"/>
      <c r="G280" s="1750"/>
      <c r="H280" s="1750"/>
      <c r="I280" s="1750"/>
      <c r="J280" s="1750"/>
      <c r="N280" s="1976"/>
      <c r="O280" s="1750"/>
    </row>
    <row r="281" spans="1:15" x14ac:dyDescent="0.2">
      <c r="A281" s="1963"/>
      <c r="B281" s="1750"/>
      <c r="C281" s="1750"/>
      <c r="D281" s="1750"/>
      <c r="E281" s="1750"/>
      <c r="F281" s="1750"/>
      <c r="G281" s="1750"/>
      <c r="H281" s="1750"/>
      <c r="I281" s="1750"/>
      <c r="J281" s="1750"/>
      <c r="N281" s="1976"/>
      <c r="O281" s="1750"/>
    </row>
    <row r="282" spans="1:15" x14ac:dyDescent="0.2">
      <c r="A282" s="1963"/>
      <c r="B282" s="1750"/>
      <c r="C282" s="1750"/>
      <c r="D282" s="1750"/>
      <c r="E282" s="1750"/>
      <c r="F282" s="1750"/>
      <c r="G282" s="1750"/>
      <c r="H282" s="1750"/>
      <c r="I282" s="1750"/>
      <c r="J282" s="1750"/>
      <c r="N282" s="1976"/>
      <c r="O282" s="1750"/>
    </row>
    <row r="283" spans="1:15" x14ac:dyDescent="0.2">
      <c r="A283" s="1963"/>
      <c r="B283" s="1750"/>
      <c r="C283" s="1750"/>
      <c r="D283" s="1750"/>
      <c r="E283" s="1750"/>
      <c r="F283" s="1750"/>
      <c r="G283" s="1750"/>
      <c r="H283" s="1750"/>
      <c r="I283" s="1750"/>
      <c r="J283" s="1750"/>
      <c r="N283" s="1976"/>
      <c r="O283" s="1750"/>
    </row>
    <row r="284" spans="1:15" x14ac:dyDescent="0.2">
      <c r="A284" s="1963"/>
      <c r="B284" s="1750"/>
      <c r="C284" s="1750"/>
      <c r="D284" s="1750"/>
      <c r="E284" s="1750"/>
      <c r="F284" s="1750"/>
      <c r="G284" s="1750"/>
      <c r="H284" s="1750"/>
      <c r="I284" s="1750"/>
      <c r="J284" s="1750"/>
      <c r="N284" s="1976"/>
      <c r="O284" s="1750"/>
    </row>
    <row r="285" spans="1:15" x14ac:dyDescent="0.2">
      <c r="A285" s="1963"/>
      <c r="B285" s="1750"/>
      <c r="C285" s="1750"/>
      <c r="D285" s="1750"/>
      <c r="E285" s="1750"/>
      <c r="F285" s="1750"/>
      <c r="G285" s="1750"/>
      <c r="H285" s="1750"/>
      <c r="I285" s="1750"/>
      <c r="J285" s="1750"/>
      <c r="N285" s="1976"/>
      <c r="O285" s="1750"/>
    </row>
    <row r="286" spans="1:15" x14ac:dyDescent="0.2">
      <c r="A286" s="1963"/>
      <c r="B286" s="1750"/>
      <c r="C286" s="1750"/>
      <c r="D286" s="1750"/>
      <c r="E286" s="1750"/>
      <c r="F286" s="1750"/>
      <c r="G286" s="1750"/>
      <c r="H286" s="1750"/>
      <c r="I286" s="1750"/>
      <c r="J286" s="1750"/>
      <c r="N286" s="1976"/>
      <c r="O286" s="1750"/>
    </row>
    <row r="287" spans="1:15" x14ac:dyDescent="0.2">
      <c r="A287" s="1963"/>
      <c r="B287" s="1750"/>
      <c r="C287" s="1750"/>
      <c r="D287" s="1750"/>
      <c r="E287" s="1750"/>
      <c r="F287" s="1750"/>
      <c r="G287" s="1750"/>
      <c r="H287" s="1750"/>
      <c r="I287" s="1750"/>
      <c r="J287" s="1750"/>
      <c r="N287" s="1976"/>
      <c r="O287" s="1750"/>
    </row>
    <row r="288" spans="1:15" ht="12" thickBot="1" x14ac:dyDescent="0.25">
      <c r="A288" s="1965"/>
      <c r="B288" s="1750"/>
      <c r="C288" s="1750"/>
      <c r="D288" s="1750"/>
      <c r="E288" s="1750"/>
      <c r="F288" s="1750"/>
      <c r="G288" s="1750"/>
      <c r="H288" s="1750"/>
      <c r="I288" s="1750"/>
      <c r="J288" s="1750"/>
      <c r="N288" s="1976"/>
      <c r="O288" s="1750"/>
    </row>
    <row r="289" spans="1:15" x14ac:dyDescent="0.2">
      <c r="A289" s="1969"/>
      <c r="B289" s="1750"/>
      <c r="C289" s="1750"/>
      <c r="D289" s="1750"/>
      <c r="E289" s="1750"/>
      <c r="F289" s="1750"/>
      <c r="G289" s="1750"/>
      <c r="H289" s="1750"/>
      <c r="I289" s="1750"/>
      <c r="J289" s="1750"/>
      <c r="N289" s="1976"/>
      <c r="O289" s="1750"/>
    </row>
    <row r="290" spans="1:15" x14ac:dyDescent="0.2">
      <c r="A290" s="1963"/>
      <c r="B290" s="1750"/>
      <c r="C290" s="1750"/>
      <c r="D290" s="1750"/>
      <c r="E290" s="1750"/>
      <c r="F290" s="1750"/>
      <c r="G290" s="1750"/>
      <c r="H290" s="1750"/>
      <c r="I290" s="1750"/>
      <c r="J290" s="1750"/>
      <c r="N290" s="1976"/>
      <c r="O290" s="1750"/>
    </row>
    <row r="291" spans="1:15" x14ac:dyDescent="0.2">
      <c r="A291" s="1963"/>
      <c r="B291" s="1750"/>
      <c r="C291" s="1750"/>
      <c r="D291" s="1750"/>
      <c r="E291" s="1750"/>
      <c r="F291" s="1750"/>
      <c r="G291" s="1750"/>
      <c r="H291" s="1750"/>
      <c r="I291" s="1750"/>
      <c r="J291" s="1750"/>
      <c r="N291" s="1976"/>
      <c r="O291" s="1750"/>
    </row>
    <row r="292" spans="1:15" x14ac:dyDescent="0.2">
      <c r="A292" s="1963"/>
      <c r="B292" s="1750"/>
      <c r="C292" s="1750"/>
      <c r="D292" s="1750"/>
      <c r="E292" s="1750"/>
      <c r="F292" s="1750"/>
      <c r="G292" s="1750"/>
      <c r="H292" s="1750"/>
      <c r="I292" s="1750"/>
      <c r="J292" s="1750"/>
      <c r="N292" s="1976"/>
      <c r="O292" s="1750"/>
    </row>
    <row r="293" spans="1:15" x14ac:dyDescent="0.2">
      <c r="A293" s="1963"/>
      <c r="B293" s="1750"/>
      <c r="C293" s="1750"/>
      <c r="D293" s="1750"/>
      <c r="E293" s="1750"/>
      <c r="F293" s="1750"/>
      <c r="G293" s="1750"/>
      <c r="H293" s="1750"/>
      <c r="I293" s="1750"/>
      <c r="J293" s="1750"/>
      <c r="N293" s="1976"/>
      <c r="O293" s="1750"/>
    </row>
    <row r="294" spans="1:15" x14ac:dyDescent="0.2">
      <c r="A294" s="1963"/>
      <c r="B294" s="1750"/>
      <c r="C294" s="1750"/>
      <c r="D294" s="1750"/>
      <c r="E294" s="1750"/>
      <c r="F294" s="1750"/>
      <c r="G294" s="1750"/>
      <c r="H294" s="1750"/>
      <c r="I294" s="1750"/>
      <c r="J294" s="1750"/>
      <c r="N294" s="1976"/>
      <c r="O294" s="1750"/>
    </row>
    <row r="295" spans="1:15" x14ac:dyDescent="0.2">
      <c r="A295" s="1963"/>
      <c r="B295" s="1750"/>
      <c r="C295" s="1750"/>
      <c r="D295" s="1750"/>
      <c r="E295" s="1750"/>
      <c r="F295" s="1750"/>
      <c r="G295" s="1750"/>
      <c r="H295" s="1750"/>
      <c r="I295" s="1750"/>
      <c r="J295" s="1750"/>
      <c r="N295" s="1976"/>
      <c r="O295" s="1750"/>
    </row>
    <row r="296" spans="1:15" x14ac:dyDescent="0.2">
      <c r="A296" s="1963"/>
      <c r="B296" s="1750"/>
      <c r="C296" s="1750"/>
      <c r="D296" s="1750"/>
      <c r="E296" s="1750"/>
      <c r="F296" s="1750"/>
      <c r="G296" s="1750"/>
      <c r="H296" s="1750"/>
      <c r="I296" s="1750"/>
      <c r="J296" s="1750"/>
      <c r="N296" s="1976"/>
      <c r="O296" s="1750"/>
    </row>
    <row r="297" spans="1:15" ht="12" thickBot="1" x14ac:dyDescent="0.25">
      <c r="A297" s="1965"/>
      <c r="B297" s="1750"/>
      <c r="C297" s="1750"/>
      <c r="D297" s="1750"/>
      <c r="E297" s="1750"/>
      <c r="F297" s="1750"/>
      <c r="G297" s="1750"/>
      <c r="H297" s="1750"/>
      <c r="I297" s="1750"/>
      <c r="J297" s="1750"/>
      <c r="N297" s="1976"/>
      <c r="O297" s="1750"/>
    </row>
    <row r="298" spans="1:15" x14ac:dyDescent="0.2">
      <c r="B298" s="1750"/>
      <c r="C298" s="1750"/>
      <c r="D298" s="1750"/>
      <c r="E298" s="1750"/>
      <c r="F298" s="1750"/>
      <c r="G298" s="1750"/>
      <c r="H298" s="1750"/>
      <c r="I298" s="1750"/>
      <c r="J298" s="1750"/>
      <c r="N298" s="1976"/>
      <c r="O298" s="1750"/>
    </row>
    <row r="299" spans="1:15" x14ac:dyDescent="0.2">
      <c r="B299" s="1750"/>
      <c r="C299" s="1750"/>
      <c r="D299" s="1750"/>
      <c r="E299" s="1750"/>
      <c r="F299" s="1750"/>
      <c r="G299" s="1750"/>
      <c r="H299" s="1750"/>
      <c r="I299" s="1750"/>
      <c r="J299" s="1750"/>
      <c r="N299" s="1976"/>
      <c r="O299" s="1750"/>
    </row>
    <row r="300" spans="1:15" x14ac:dyDescent="0.2">
      <c r="B300" s="1750"/>
      <c r="C300" s="1750"/>
      <c r="D300" s="1750"/>
      <c r="E300" s="1750"/>
      <c r="F300" s="1750"/>
      <c r="G300" s="1750"/>
      <c r="H300" s="1750"/>
      <c r="I300" s="1750"/>
      <c r="J300" s="1750"/>
      <c r="N300" s="1976"/>
      <c r="O300" s="1750"/>
    </row>
    <row r="301" spans="1:15" x14ac:dyDescent="0.2">
      <c r="B301" s="1750"/>
      <c r="C301" s="1750"/>
      <c r="D301" s="1750"/>
      <c r="E301" s="1750"/>
      <c r="F301" s="1750"/>
      <c r="G301" s="1750"/>
      <c r="H301" s="1750"/>
      <c r="I301" s="1750"/>
      <c r="J301" s="1750"/>
      <c r="N301" s="1976"/>
      <c r="O301" s="1750"/>
    </row>
    <row r="302" spans="1:15" x14ac:dyDescent="0.2">
      <c r="B302" s="1750"/>
      <c r="C302" s="1750"/>
      <c r="D302" s="1750"/>
      <c r="E302" s="1750"/>
      <c r="F302" s="1750"/>
      <c r="G302" s="1750"/>
      <c r="H302" s="1750"/>
      <c r="I302" s="1750"/>
      <c r="J302" s="1750"/>
      <c r="N302" s="1976"/>
      <c r="O302" s="1750"/>
    </row>
    <row r="303" spans="1:15" x14ac:dyDescent="0.2">
      <c r="B303" s="1750"/>
      <c r="C303" s="1750"/>
      <c r="D303" s="1750"/>
      <c r="E303" s="1750"/>
      <c r="F303" s="1750"/>
      <c r="G303" s="1750"/>
      <c r="H303" s="1750"/>
      <c r="I303" s="1750"/>
      <c r="J303" s="1750"/>
      <c r="N303" s="1976"/>
      <c r="O303" s="1750"/>
    </row>
    <row r="304" spans="1:15" x14ac:dyDescent="0.2">
      <c r="B304" s="1750"/>
      <c r="C304" s="1750"/>
      <c r="D304" s="1750"/>
      <c r="E304" s="1750"/>
      <c r="F304" s="1750"/>
      <c r="G304" s="1750"/>
      <c r="H304" s="1750"/>
      <c r="I304" s="1750"/>
      <c r="J304" s="1750"/>
      <c r="N304" s="1976"/>
      <c r="O304" s="1750"/>
    </row>
    <row r="305" spans="1:15" x14ac:dyDescent="0.2">
      <c r="B305" s="1750"/>
      <c r="C305" s="1750"/>
      <c r="D305" s="1750"/>
      <c r="E305" s="1750"/>
      <c r="F305" s="1750"/>
      <c r="G305" s="1750"/>
      <c r="H305" s="1750"/>
      <c r="I305" s="1750"/>
      <c r="J305" s="1750"/>
      <c r="N305" s="1976"/>
      <c r="O305" s="1750"/>
    </row>
    <row r="306" spans="1:15" x14ac:dyDescent="0.2">
      <c r="B306" s="1750"/>
      <c r="C306" s="1750"/>
      <c r="D306" s="1750"/>
      <c r="E306" s="1750"/>
      <c r="F306" s="1750"/>
      <c r="G306" s="1750"/>
      <c r="H306" s="1750"/>
      <c r="I306" s="1750"/>
      <c r="J306" s="1750"/>
      <c r="N306" s="1976"/>
      <c r="O306" s="1750"/>
    </row>
    <row r="307" spans="1:15" x14ac:dyDescent="0.2">
      <c r="B307" s="1750"/>
      <c r="C307" s="1750"/>
      <c r="D307" s="1750"/>
      <c r="E307" s="1750"/>
      <c r="F307" s="1750"/>
      <c r="G307" s="1750"/>
      <c r="H307" s="1750"/>
      <c r="I307" s="1750"/>
      <c r="J307" s="1750"/>
      <c r="N307" s="1976"/>
      <c r="O307" s="1750"/>
    </row>
    <row r="308" spans="1:15" x14ac:dyDescent="0.2">
      <c r="B308" s="1750"/>
      <c r="C308" s="1750"/>
      <c r="D308" s="1750"/>
      <c r="E308" s="1750"/>
      <c r="F308" s="1750"/>
      <c r="G308" s="1750"/>
      <c r="H308" s="1750"/>
      <c r="I308" s="1750"/>
      <c r="J308" s="1750"/>
      <c r="N308" s="1976"/>
      <c r="O308" s="1750"/>
    </row>
    <row r="309" spans="1:15" x14ac:dyDescent="0.2">
      <c r="B309" s="1750"/>
      <c r="C309" s="1750"/>
      <c r="D309" s="1750"/>
      <c r="E309" s="1750"/>
      <c r="F309" s="1750"/>
      <c r="G309" s="1750"/>
      <c r="H309" s="1750"/>
      <c r="I309" s="1750"/>
      <c r="J309" s="1750"/>
      <c r="N309" s="1976"/>
      <c r="O309" s="1750"/>
    </row>
    <row r="310" spans="1:15" x14ac:dyDescent="0.2">
      <c r="B310" s="1750"/>
      <c r="C310" s="1750"/>
      <c r="D310" s="1750"/>
      <c r="E310" s="1750"/>
      <c r="F310" s="1750"/>
      <c r="G310" s="1750"/>
      <c r="H310" s="1750"/>
      <c r="I310" s="1750"/>
      <c r="J310" s="1750"/>
      <c r="N310" s="1976"/>
      <c r="O310" s="1750"/>
    </row>
    <row r="311" spans="1:15" x14ac:dyDescent="0.2">
      <c r="B311" s="1750"/>
      <c r="C311" s="1750"/>
      <c r="D311" s="1750"/>
      <c r="E311" s="1750"/>
      <c r="F311" s="1750"/>
      <c r="G311" s="1750"/>
      <c r="H311" s="1750"/>
      <c r="I311" s="1750"/>
      <c r="J311" s="1750"/>
      <c r="N311" s="1976"/>
      <c r="O311" s="1750"/>
    </row>
    <row r="312" spans="1:15" x14ac:dyDescent="0.2">
      <c r="B312" s="1750"/>
      <c r="C312" s="1750"/>
      <c r="D312" s="1750"/>
      <c r="E312" s="1750"/>
      <c r="F312" s="1750"/>
      <c r="G312" s="1750"/>
      <c r="H312" s="1750"/>
      <c r="I312" s="1750"/>
      <c r="J312" s="1750"/>
      <c r="N312" s="1976"/>
      <c r="O312" s="1750"/>
    </row>
    <row r="313" spans="1:15" x14ac:dyDescent="0.2">
      <c r="B313" s="1750"/>
      <c r="C313" s="1750"/>
      <c r="D313" s="1750"/>
      <c r="E313" s="1750"/>
      <c r="F313" s="1750"/>
      <c r="G313" s="1750"/>
      <c r="H313" s="1750"/>
      <c r="I313" s="1750"/>
      <c r="J313" s="1750"/>
      <c r="N313" s="1976"/>
      <c r="O313" s="1750"/>
    </row>
    <row r="314" spans="1:15" x14ac:dyDescent="0.2">
      <c r="B314" s="1750"/>
      <c r="C314" s="1750"/>
      <c r="D314" s="1750"/>
      <c r="E314" s="1750"/>
      <c r="F314" s="1750"/>
      <c r="G314" s="1750"/>
      <c r="H314" s="1750"/>
      <c r="I314" s="1750"/>
      <c r="J314" s="1750"/>
      <c r="N314" s="1976"/>
      <c r="O314" s="1750"/>
    </row>
    <row r="315" spans="1:15" ht="12" thickBot="1" x14ac:dyDescent="0.25">
      <c r="B315" s="1750"/>
      <c r="C315" s="1750"/>
      <c r="D315" s="1750"/>
      <c r="E315" s="1750"/>
      <c r="F315" s="1750"/>
      <c r="G315" s="1750"/>
      <c r="H315" s="1750"/>
      <c r="I315" s="1750"/>
      <c r="J315" s="1750"/>
      <c r="N315" s="1976"/>
      <c r="O315" s="1750"/>
    </row>
    <row r="316" spans="1:15" x14ac:dyDescent="0.2">
      <c r="A316" s="1969"/>
      <c r="B316" s="1750"/>
      <c r="C316" s="1750"/>
      <c r="D316" s="1750"/>
      <c r="E316" s="1750"/>
      <c r="F316" s="1750"/>
      <c r="G316" s="1750"/>
      <c r="H316" s="1750"/>
      <c r="I316" s="1750"/>
      <c r="J316" s="1750"/>
      <c r="N316" s="1976"/>
      <c r="O316" s="1750"/>
    </row>
    <row r="317" spans="1:15" x14ac:dyDescent="0.2">
      <c r="A317" s="1963"/>
      <c r="B317" s="1750"/>
      <c r="C317" s="1750"/>
      <c r="D317" s="1750"/>
      <c r="E317" s="1750"/>
      <c r="F317" s="1750"/>
      <c r="G317" s="1750"/>
      <c r="H317" s="1750"/>
      <c r="I317" s="1750"/>
      <c r="J317" s="1750"/>
      <c r="N317" s="1976"/>
      <c r="O317" s="1750"/>
    </row>
    <row r="318" spans="1:15" x14ac:dyDescent="0.2">
      <c r="A318" s="1963"/>
      <c r="B318" s="1750"/>
      <c r="C318" s="1750"/>
      <c r="D318" s="1750"/>
      <c r="E318" s="1750"/>
      <c r="F318" s="1750"/>
      <c r="G318" s="1750"/>
      <c r="H318" s="1750"/>
      <c r="I318" s="1750"/>
      <c r="J318" s="1750"/>
      <c r="N318" s="1976"/>
      <c r="O318" s="1750"/>
    </row>
    <row r="319" spans="1:15" x14ac:dyDescent="0.2">
      <c r="A319" s="1963"/>
      <c r="B319" s="1750"/>
      <c r="C319" s="1750"/>
      <c r="D319" s="1750"/>
      <c r="E319" s="1750"/>
      <c r="F319" s="1750"/>
      <c r="G319" s="1750"/>
      <c r="H319" s="1750"/>
      <c r="I319" s="1750"/>
      <c r="J319" s="1750"/>
      <c r="N319" s="1976"/>
      <c r="O319" s="1750"/>
    </row>
    <row r="320" spans="1:15" x14ac:dyDescent="0.2">
      <c r="A320" s="1963"/>
      <c r="B320" s="1750"/>
      <c r="C320" s="1750"/>
      <c r="D320" s="1750"/>
      <c r="E320" s="1750"/>
      <c r="F320" s="1750"/>
      <c r="G320" s="1750"/>
      <c r="H320" s="1750"/>
      <c r="I320" s="1750"/>
      <c r="J320" s="1750"/>
      <c r="N320" s="1976"/>
      <c r="O320" s="1750"/>
    </row>
    <row r="321" spans="1:15" x14ac:dyDescent="0.2">
      <c r="A321" s="1963"/>
      <c r="B321" s="1750"/>
      <c r="C321" s="1750"/>
      <c r="D321" s="1750"/>
      <c r="E321" s="1750"/>
      <c r="F321" s="1750"/>
      <c r="G321" s="1750"/>
      <c r="H321" s="1750"/>
      <c r="I321" s="1750"/>
      <c r="J321" s="1750"/>
      <c r="N321" s="1976"/>
      <c r="O321" s="1750"/>
    </row>
    <row r="322" spans="1:15" x14ac:dyDescent="0.2">
      <c r="A322" s="1963"/>
      <c r="B322" s="1750"/>
      <c r="C322" s="1750"/>
      <c r="D322" s="1750"/>
      <c r="E322" s="1750"/>
      <c r="F322" s="1750"/>
      <c r="G322" s="1750"/>
      <c r="H322" s="1750"/>
      <c r="I322" s="1750"/>
      <c r="J322" s="1750"/>
      <c r="N322" s="1976"/>
      <c r="O322" s="1750"/>
    </row>
    <row r="323" spans="1:15" x14ac:dyDescent="0.2">
      <c r="A323" s="1963"/>
      <c r="B323" s="1750"/>
      <c r="C323" s="1750"/>
      <c r="D323" s="1750"/>
      <c r="E323" s="1750"/>
      <c r="F323" s="1750"/>
      <c r="G323" s="1750"/>
      <c r="H323" s="1750"/>
      <c r="I323" s="1750"/>
      <c r="J323" s="1750"/>
      <c r="N323" s="1976"/>
      <c r="O323" s="1750"/>
    </row>
    <row r="324" spans="1:15" ht="12" thickBot="1" x14ac:dyDescent="0.25">
      <c r="A324" s="1965"/>
      <c r="B324" s="1750"/>
      <c r="C324" s="1750"/>
      <c r="D324" s="1750"/>
      <c r="E324" s="1750"/>
      <c r="F324" s="1750"/>
      <c r="G324" s="1750"/>
      <c r="H324" s="1750"/>
      <c r="I324" s="1750"/>
      <c r="J324" s="1750"/>
      <c r="N324" s="1976"/>
      <c r="O324" s="1750"/>
    </row>
    <row r="325" spans="1:15" x14ac:dyDescent="0.2">
      <c r="A325" s="1969"/>
      <c r="B325" s="1750"/>
      <c r="C325" s="1750"/>
      <c r="D325" s="1750"/>
      <c r="E325" s="1750"/>
      <c r="F325" s="1750"/>
      <c r="G325" s="1750"/>
      <c r="H325" s="1750"/>
      <c r="I325" s="1750"/>
      <c r="J325" s="1750"/>
      <c r="N325" s="1976"/>
      <c r="O325" s="1750"/>
    </row>
    <row r="326" spans="1:15" x14ac:dyDescent="0.2">
      <c r="A326" s="1963"/>
      <c r="B326" s="1750"/>
      <c r="C326" s="1750"/>
      <c r="D326" s="1750"/>
      <c r="E326" s="1750"/>
      <c r="F326" s="1750"/>
      <c r="G326" s="1750"/>
      <c r="H326" s="1750"/>
      <c r="I326" s="1750"/>
      <c r="J326" s="1750"/>
      <c r="N326" s="1976"/>
      <c r="O326" s="1750"/>
    </row>
    <row r="327" spans="1:15" x14ac:dyDescent="0.2">
      <c r="A327" s="1963"/>
      <c r="B327" s="1750"/>
      <c r="C327" s="1750"/>
      <c r="D327" s="1750"/>
      <c r="E327" s="1750"/>
      <c r="F327" s="1750"/>
      <c r="G327" s="1750"/>
      <c r="H327" s="1750"/>
      <c r="I327" s="1750"/>
      <c r="J327" s="1750"/>
      <c r="N327" s="1976"/>
      <c r="O327" s="1750"/>
    </row>
    <row r="328" spans="1:15" x14ac:dyDescent="0.2">
      <c r="A328" s="1963"/>
      <c r="B328" s="1750"/>
      <c r="C328" s="1750"/>
      <c r="D328" s="1750"/>
      <c r="E328" s="1750"/>
      <c r="F328" s="1750"/>
      <c r="G328" s="1750"/>
      <c r="H328" s="1750"/>
      <c r="I328" s="1750"/>
      <c r="J328" s="1750"/>
      <c r="N328" s="1976"/>
      <c r="O328" s="1750"/>
    </row>
    <row r="329" spans="1:15" x14ac:dyDescent="0.2">
      <c r="A329" s="1963"/>
      <c r="B329" s="1750"/>
      <c r="C329" s="1750"/>
      <c r="D329" s="1750"/>
      <c r="E329" s="1750"/>
      <c r="F329" s="1750"/>
      <c r="G329" s="1750"/>
      <c r="H329" s="1750"/>
      <c r="I329" s="1750"/>
      <c r="J329" s="1750"/>
      <c r="N329" s="1976"/>
      <c r="O329" s="1750"/>
    </row>
    <row r="330" spans="1:15" x14ac:dyDescent="0.2">
      <c r="A330" s="1963"/>
      <c r="B330" s="1750"/>
      <c r="C330" s="1750"/>
      <c r="D330" s="1750"/>
      <c r="E330" s="1750"/>
      <c r="F330" s="1750"/>
      <c r="G330" s="1750"/>
      <c r="H330" s="1750"/>
      <c r="I330" s="1750"/>
      <c r="J330" s="1750"/>
      <c r="N330" s="1976"/>
      <c r="O330" s="1750"/>
    </row>
    <row r="331" spans="1:15" x14ac:dyDescent="0.2">
      <c r="A331" s="1963"/>
      <c r="B331" s="1750"/>
      <c r="C331" s="1750"/>
      <c r="D331" s="1750"/>
      <c r="E331" s="1750"/>
      <c r="F331" s="1750"/>
      <c r="G331" s="1750"/>
      <c r="H331" s="1750"/>
      <c r="I331" s="1750"/>
      <c r="J331" s="1750"/>
      <c r="N331" s="1976"/>
      <c r="O331" s="1750"/>
    </row>
    <row r="332" spans="1:15" x14ac:dyDescent="0.2">
      <c r="A332" s="1963"/>
      <c r="B332" s="1750"/>
      <c r="C332" s="1750"/>
      <c r="D332" s="1750"/>
      <c r="E332" s="1750"/>
      <c r="F332" s="1750"/>
      <c r="G332" s="1750"/>
      <c r="H332" s="1750"/>
      <c r="I332" s="1750"/>
      <c r="J332" s="1750"/>
      <c r="N332" s="1976"/>
      <c r="O332" s="1750"/>
    </row>
    <row r="333" spans="1:15" ht="12" thickBot="1" x14ac:dyDescent="0.25">
      <c r="A333" s="1965"/>
      <c r="B333" s="1750"/>
      <c r="C333" s="1750"/>
      <c r="D333" s="1750"/>
      <c r="E333" s="1750"/>
      <c r="F333" s="1750"/>
      <c r="G333" s="1750"/>
      <c r="H333" s="1750"/>
      <c r="I333" s="1750"/>
      <c r="J333" s="1750"/>
      <c r="N333" s="1976"/>
      <c r="O333" s="1750"/>
    </row>
    <row r="334" spans="1:15" x14ac:dyDescent="0.2">
      <c r="B334" s="1750"/>
      <c r="C334" s="1750"/>
      <c r="D334" s="1750"/>
      <c r="E334" s="1750"/>
      <c r="F334" s="1750"/>
      <c r="G334" s="1750"/>
      <c r="H334" s="1750"/>
      <c r="I334" s="1750"/>
      <c r="J334" s="1750"/>
      <c r="N334" s="1976"/>
      <c r="O334" s="1750"/>
    </row>
    <row r="335" spans="1:15" x14ac:dyDescent="0.2">
      <c r="B335" s="1750"/>
      <c r="C335" s="1750"/>
      <c r="D335" s="1750"/>
      <c r="E335" s="1750"/>
      <c r="F335" s="1750"/>
      <c r="G335" s="1750"/>
      <c r="H335" s="1750"/>
      <c r="I335" s="1750"/>
      <c r="J335" s="1750"/>
      <c r="N335" s="1976"/>
      <c r="O335" s="1750"/>
    </row>
    <row r="336" spans="1:15" x14ac:dyDescent="0.2">
      <c r="B336" s="1750"/>
      <c r="C336" s="1750"/>
      <c r="D336" s="1750"/>
      <c r="E336" s="1750"/>
      <c r="F336" s="1750"/>
      <c r="G336" s="1750"/>
      <c r="H336" s="1750"/>
      <c r="I336" s="1750"/>
      <c r="J336" s="1750"/>
      <c r="N336" s="1976"/>
      <c r="O336" s="1750"/>
    </row>
    <row r="337" spans="2:15" x14ac:dyDescent="0.2">
      <c r="B337" s="1750"/>
      <c r="C337" s="1750"/>
      <c r="D337" s="1750"/>
      <c r="E337" s="1750"/>
      <c r="F337" s="1750"/>
      <c r="G337" s="1750"/>
      <c r="H337" s="1750"/>
      <c r="I337" s="1750"/>
      <c r="J337" s="1750"/>
      <c r="N337" s="1976"/>
      <c r="O337" s="1750"/>
    </row>
    <row r="338" spans="2:15" x14ac:dyDescent="0.2">
      <c r="B338" s="1750"/>
      <c r="C338" s="1750"/>
      <c r="D338" s="1750"/>
      <c r="E338" s="1750"/>
      <c r="F338" s="1750"/>
      <c r="G338" s="1750"/>
      <c r="H338" s="1750"/>
      <c r="I338" s="1750"/>
      <c r="J338" s="1750"/>
      <c r="N338" s="1976"/>
      <c r="O338" s="1750"/>
    </row>
    <row r="339" spans="2:15" x14ac:dyDescent="0.2">
      <c r="B339" s="1750"/>
      <c r="C339" s="1750"/>
      <c r="D339" s="1750"/>
      <c r="E339" s="1750"/>
      <c r="F339" s="1750"/>
      <c r="G339" s="1750"/>
      <c r="H339" s="1750"/>
      <c r="I339" s="1750"/>
      <c r="J339" s="1750"/>
      <c r="N339" s="1976"/>
      <c r="O339" s="1750"/>
    </row>
    <row r="340" spans="2:15" x14ac:dyDescent="0.2">
      <c r="B340" s="1750"/>
      <c r="C340" s="1750"/>
      <c r="D340" s="1750"/>
      <c r="E340" s="1750"/>
      <c r="F340" s="1750"/>
      <c r="G340" s="1750"/>
      <c r="H340" s="1750"/>
      <c r="I340" s="1750"/>
      <c r="J340" s="1750"/>
      <c r="N340" s="1976"/>
      <c r="O340" s="1750"/>
    </row>
    <row r="341" spans="2:15" x14ac:dyDescent="0.2">
      <c r="B341" s="1750"/>
      <c r="C341" s="1750"/>
      <c r="D341" s="1750"/>
      <c r="E341" s="1750"/>
      <c r="F341" s="1750"/>
      <c r="G341" s="1750"/>
      <c r="H341" s="1750"/>
      <c r="I341" s="1750"/>
      <c r="J341" s="1750"/>
      <c r="N341" s="1976"/>
      <c r="O341" s="1750"/>
    </row>
    <row r="342" spans="2:15" x14ac:dyDescent="0.2">
      <c r="B342" s="1750"/>
      <c r="C342" s="1750"/>
      <c r="D342" s="1750"/>
      <c r="E342" s="1750"/>
      <c r="F342" s="1750"/>
      <c r="G342" s="1750"/>
      <c r="H342" s="1750"/>
      <c r="I342" s="1750"/>
      <c r="J342" s="1750"/>
      <c r="N342" s="1976"/>
      <c r="O342" s="1750"/>
    </row>
    <row r="343" spans="2:15" x14ac:dyDescent="0.2">
      <c r="B343" s="1750"/>
      <c r="C343" s="1750"/>
      <c r="D343" s="1750"/>
      <c r="E343" s="1750"/>
      <c r="F343" s="1750"/>
      <c r="G343" s="1750"/>
      <c r="H343" s="1750"/>
      <c r="I343" s="1750"/>
      <c r="J343" s="1750"/>
      <c r="N343" s="1976"/>
      <c r="O343" s="1750"/>
    </row>
    <row r="344" spans="2:15" x14ac:dyDescent="0.2">
      <c r="B344" s="1750"/>
      <c r="C344" s="1750"/>
      <c r="D344" s="1750"/>
      <c r="E344" s="1750"/>
      <c r="F344" s="1750"/>
      <c r="G344" s="1750"/>
      <c r="H344" s="1750"/>
      <c r="I344" s="1750"/>
      <c r="J344" s="1750"/>
      <c r="N344" s="1976"/>
      <c r="O344" s="1750"/>
    </row>
    <row r="345" spans="2:15" x14ac:dyDescent="0.2">
      <c r="B345" s="1750"/>
      <c r="C345" s="1750"/>
      <c r="D345" s="1750"/>
      <c r="E345" s="1750"/>
      <c r="F345" s="1750"/>
      <c r="G345" s="1750"/>
      <c r="H345" s="1750"/>
      <c r="I345" s="1750"/>
      <c r="J345" s="1750"/>
      <c r="N345" s="1976"/>
      <c r="O345" s="1750"/>
    </row>
    <row r="346" spans="2:15" x14ac:dyDescent="0.2">
      <c r="B346" s="1750"/>
      <c r="C346" s="1750"/>
      <c r="D346" s="1750"/>
      <c r="E346" s="1750"/>
      <c r="F346" s="1750"/>
      <c r="G346" s="1750"/>
      <c r="H346" s="1750"/>
      <c r="I346" s="1750"/>
      <c r="J346" s="1750"/>
      <c r="N346" s="1976"/>
      <c r="O346" s="1750"/>
    </row>
    <row r="347" spans="2:15" x14ac:dyDescent="0.2">
      <c r="B347" s="1750"/>
      <c r="C347" s="1750"/>
      <c r="D347" s="1750"/>
      <c r="E347" s="1750"/>
      <c r="F347" s="1750"/>
      <c r="G347" s="1750"/>
      <c r="H347" s="1750"/>
      <c r="I347" s="1750"/>
      <c r="J347" s="1750"/>
      <c r="N347" s="1976"/>
      <c r="O347" s="1750"/>
    </row>
    <row r="348" spans="2:15" x14ac:dyDescent="0.2">
      <c r="B348" s="1750"/>
      <c r="C348" s="1750"/>
      <c r="D348" s="1750"/>
      <c r="E348" s="1750"/>
      <c r="F348" s="1750"/>
      <c r="G348" s="1750"/>
      <c r="H348" s="1750"/>
      <c r="I348" s="1750"/>
      <c r="J348" s="1750"/>
      <c r="N348" s="1976"/>
      <c r="O348" s="1750"/>
    </row>
    <row r="349" spans="2:15" x14ac:dyDescent="0.2">
      <c r="B349" s="1750"/>
      <c r="C349" s="1750"/>
      <c r="D349" s="1750"/>
      <c r="E349" s="1750"/>
      <c r="F349" s="1750"/>
      <c r="G349" s="1750"/>
      <c r="H349" s="1750"/>
      <c r="I349" s="1750"/>
      <c r="J349" s="1750"/>
      <c r="N349" s="1976"/>
      <c r="O349" s="1750"/>
    </row>
    <row r="350" spans="2:15" x14ac:dyDescent="0.2">
      <c r="B350" s="1750"/>
      <c r="C350" s="1750"/>
      <c r="D350" s="1750"/>
      <c r="E350" s="1750"/>
      <c r="F350" s="1750"/>
      <c r="G350" s="1750"/>
      <c r="H350" s="1750"/>
      <c r="I350" s="1750"/>
      <c r="J350" s="1750"/>
      <c r="N350" s="1976"/>
      <c r="O350" s="1750"/>
    </row>
    <row r="351" spans="2:15" x14ac:dyDescent="0.2">
      <c r="B351" s="1750"/>
      <c r="C351" s="1750"/>
      <c r="D351" s="1750"/>
      <c r="E351" s="1750"/>
      <c r="F351" s="1750"/>
      <c r="G351" s="1750"/>
      <c r="H351" s="1750"/>
      <c r="I351" s="1750"/>
      <c r="J351" s="1750"/>
      <c r="N351" s="1976"/>
      <c r="O351" s="1750"/>
    </row>
    <row r="352" spans="2:15" ht="12" thickBot="1" x14ac:dyDescent="0.25">
      <c r="B352" s="1750"/>
      <c r="C352" s="1750"/>
      <c r="D352" s="1750"/>
      <c r="E352" s="1750"/>
      <c r="F352" s="1750"/>
      <c r="G352" s="1750"/>
      <c r="H352" s="1750"/>
      <c r="I352" s="1750"/>
      <c r="J352" s="1750"/>
      <c r="N352" s="1976"/>
      <c r="O352" s="1750"/>
    </row>
    <row r="353" spans="1:15" x14ac:dyDescent="0.2">
      <c r="A353" s="1969"/>
      <c r="B353" s="1750"/>
      <c r="C353" s="1750"/>
      <c r="D353" s="1750"/>
      <c r="E353" s="1750"/>
      <c r="F353" s="1750"/>
      <c r="G353" s="1750"/>
      <c r="H353" s="1750"/>
      <c r="I353" s="1750"/>
      <c r="J353" s="1750"/>
      <c r="N353" s="1976"/>
      <c r="O353" s="1750"/>
    </row>
    <row r="354" spans="1:15" x14ac:dyDescent="0.2">
      <c r="A354" s="1963"/>
      <c r="B354" s="1750"/>
      <c r="C354" s="1750"/>
      <c r="D354" s="1750"/>
      <c r="E354" s="1750"/>
      <c r="F354" s="1750"/>
      <c r="G354" s="1750"/>
      <c r="H354" s="1750"/>
      <c r="I354" s="1750"/>
      <c r="J354" s="1750"/>
      <c r="N354" s="1976"/>
      <c r="O354" s="1750"/>
    </row>
    <row r="355" spans="1:15" x14ac:dyDescent="0.2">
      <c r="A355" s="1963"/>
      <c r="B355" s="1750"/>
      <c r="C355" s="1750"/>
      <c r="D355" s="1750"/>
      <c r="E355" s="1750"/>
      <c r="F355" s="1750"/>
      <c r="G355" s="1750"/>
      <c r="H355" s="1750"/>
      <c r="I355" s="1750"/>
      <c r="J355" s="1750"/>
      <c r="N355" s="1976"/>
      <c r="O355" s="1750"/>
    </row>
    <row r="356" spans="1:15" x14ac:dyDescent="0.2">
      <c r="A356" s="1963"/>
      <c r="B356" s="1750"/>
      <c r="C356" s="1750"/>
      <c r="D356" s="1750"/>
      <c r="E356" s="1750"/>
      <c r="F356" s="1750"/>
      <c r="G356" s="1750"/>
      <c r="H356" s="1750"/>
      <c r="I356" s="1750"/>
      <c r="J356" s="1750"/>
      <c r="N356" s="1976"/>
      <c r="O356" s="1750"/>
    </row>
    <row r="357" spans="1:15" x14ac:dyDescent="0.2">
      <c r="A357" s="1963"/>
      <c r="B357" s="1750"/>
      <c r="C357" s="1750"/>
      <c r="D357" s="1750"/>
      <c r="E357" s="1750"/>
      <c r="F357" s="1750"/>
      <c r="G357" s="1750"/>
      <c r="H357" s="1750"/>
      <c r="I357" s="1750"/>
      <c r="J357" s="1750"/>
      <c r="N357" s="1976"/>
      <c r="O357" s="1750"/>
    </row>
    <row r="358" spans="1:15" x14ac:dyDescent="0.2">
      <c r="A358" s="1963"/>
      <c r="B358" s="1750"/>
      <c r="C358" s="1750"/>
      <c r="D358" s="1750"/>
      <c r="E358" s="1750"/>
      <c r="F358" s="1750"/>
      <c r="G358" s="1750"/>
      <c r="H358" s="1750"/>
      <c r="I358" s="1750"/>
      <c r="J358" s="1750"/>
      <c r="N358" s="1976"/>
      <c r="O358" s="1750"/>
    </row>
    <row r="359" spans="1:15" x14ac:dyDescent="0.2">
      <c r="A359" s="1963"/>
      <c r="B359" s="1750"/>
      <c r="C359" s="1750"/>
      <c r="D359" s="1750"/>
      <c r="E359" s="1750"/>
      <c r="F359" s="1750"/>
      <c r="G359" s="1750"/>
      <c r="H359" s="1750"/>
      <c r="I359" s="1750"/>
      <c r="J359" s="1750"/>
      <c r="N359" s="1976"/>
      <c r="O359" s="1750"/>
    </row>
    <row r="360" spans="1:15" x14ac:dyDescent="0.2">
      <c r="A360" s="1963"/>
      <c r="B360" s="1750"/>
      <c r="C360" s="1750"/>
      <c r="D360" s="1750"/>
      <c r="E360" s="1750"/>
      <c r="F360" s="1750"/>
      <c r="G360" s="1750"/>
      <c r="H360" s="1750"/>
      <c r="I360" s="1750"/>
      <c r="J360" s="1750"/>
      <c r="N360" s="1976"/>
      <c r="O360" s="1750"/>
    </row>
    <row r="361" spans="1:15" ht="12" thickBot="1" x14ac:dyDescent="0.25">
      <c r="A361" s="1965"/>
      <c r="B361" s="1750"/>
      <c r="C361" s="1750"/>
      <c r="D361" s="1750"/>
      <c r="E361" s="1750"/>
      <c r="F361" s="1750"/>
      <c r="G361" s="1750"/>
      <c r="H361" s="1750"/>
      <c r="I361" s="1750"/>
      <c r="J361" s="1750"/>
      <c r="N361" s="1976"/>
      <c r="O361" s="1750"/>
    </row>
    <row r="362" spans="1:15" x14ac:dyDescent="0.2">
      <c r="B362" s="1750"/>
      <c r="C362" s="1750"/>
      <c r="D362" s="1750"/>
      <c r="E362" s="1750"/>
      <c r="F362" s="1750"/>
      <c r="G362" s="1750"/>
      <c r="H362" s="1750"/>
      <c r="I362" s="1750"/>
      <c r="J362" s="1750"/>
      <c r="N362" s="1976"/>
      <c r="O362" s="1750"/>
    </row>
    <row r="363" spans="1:15" x14ac:dyDescent="0.2">
      <c r="B363" s="1750"/>
      <c r="C363" s="1750"/>
      <c r="D363" s="1750"/>
      <c r="E363" s="1750"/>
      <c r="F363" s="1750"/>
      <c r="G363" s="1750"/>
      <c r="H363" s="1750"/>
      <c r="I363" s="1750"/>
      <c r="J363" s="1750"/>
      <c r="N363" s="1976"/>
      <c r="O363" s="1750"/>
    </row>
    <row r="364" spans="1:15" x14ac:dyDescent="0.2">
      <c r="B364" s="1750"/>
      <c r="C364" s="1750"/>
      <c r="D364" s="1750"/>
      <c r="E364" s="1750"/>
      <c r="F364" s="1750"/>
      <c r="G364" s="1750"/>
      <c r="H364" s="1750"/>
      <c r="I364" s="1750"/>
      <c r="J364" s="1750"/>
      <c r="N364" s="1976"/>
      <c r="O364" s="1750"/>
    </row>
    <row r="365" spans="1:15" x14ac:dyDescent="0.2">
      <c r="B365" s="1750"/>
      <c r="C365" s="1750"/>
      <c r="D365" s="1750"/>
      <c r="E365" s="1750"/>
      <c r="F365" s="1750"/>
      <c r="G365" s="1750"/>
      <c r="H365" s="1750"/>
      <c r="I365" s="1750"/>
      <c r="J365" s="1750"/>
      <c r="N365" s="1976"/>
      <c r="O365" s="1750"/>
    </row>
    <row r="366" spans="1:15" x14ac:dyDescent="0.2">
      <c r="B366" s="1750"/>
      <c r="C366" s="1750"/>
      <c r="D366" s="1750"/>
      <c r="E366" s="1750"/>
      <c r="F366" s="1750"/>
      <c r="G366" s="1750"/>
      <c r="H366" s="1750"/>
      <c r="I366" s="1750"/>
      <c r="J366" s="1750"/>
      <c r="N366" s="1976"/>
      <c r="O366" s="1750"/>
    </row>
    <row r="367" spans="1:15" x14ac:dyDescent="0.2">
      <c r="B367" s="1750"/>
      <c r="C367" s="1750"/>
      <c r="D367" s="1750"/>
      <c r="E367" s="1750"/>
      <c r="F367" s="1750"/>
      <c r="G367" s="1750"/>
      <c r="H367" s="1750"/>
      <c r="I367" s="1750"/>
      <c r="J367" s="1750"/>
      <c r="N367" s="1976"/>
      <c r="O367" s="1750"/>
    </row>
    <row r="368" spans="1:15" x14ac:dyDescent="0.2">
      <c r="B368" s="1750"/>
      <c r="C368" s="1750"/>
      <c r="D368" s="1750"/>
      <c r="E368" s="1750"/>
      <c r="F368" s="1750"/>
      <c r="G368" s="1750"/>
      <c r="H368" s="1750"/>
      <c r="I368" s="1750"/>
      <c r="J368" s="1750"/>
      <c r="N368" s="1976"/>
      <c r="O368" s="1750"/>
    </row>
    <row r="369" spans="1:15" x14ac:dyDescent="0.2">
      <c r="B369" s="1750"/>
      <c r="C369" s="1750"/>
      <c r="D369" s="1750"/>
      <c r="E369" s="1750"/>
      <c r="F369" s="1750"/>
      <c r="G369" s="1750"/>
      <c r="H369" s="1750"/>
      <c r="I369" s="1750"/>
      <c r="J369" s="1750"/>
      <c r="N369" s="1976"/>
      <c r="O369" s="1750"/>
    </row>
    <row r="370" spans="1:15" ht="12" thickBot="1" x14ac:dyDescent="0.25">
      <c r="B370" s="1750"/>
      <c r="C370" s="1750"/>
      <c r="D370" s="1750"/>
      <c r="E370" s="1750"/>
      <c r="F370" s="1750"/>
      <c r="G370" s="1750"/>
      <c r="H370" s="1750"/>
      <c r="I370" s="1750"/>
      <c r="J370" s="1750"/>
      <c r="N370" s="1976"/>
      <c r="O370" s="1750"/>
    </row>
    <row r="371" spans="1:15" x14ac:dyDescent="0.2">
      <c r="A371" s="1969"/>
      <c r="B371" s="1750"/>
      <c r="C371" s="1750"/>
      <c r="D371" s="1750"/>
      <c r="E371" s="1750"/>
      <c r="F371" s="1750"/>
      <c r="G371" s="1750"/>
      <c r="H371" s="1750"/>
      <c r="I371" s="1750"/>
      <c r="J371" s="1750"/>
      <c r="N371" s="1976"/>
      <c r="O371" s="1750"/>
    </row>
    <row r="372" spans="1:15" x14ac:dyDescent="0.2">
      <c r="A372" s="1963"/>
      <c r="B372" s="1750"/>
      <c r="C372" s="1750"/>
      <c r="D372" s="1750"/>
      <c r="E372" s="1750"/>
      <c r="F372" s="1750"/>
      <c r="G372" s="1750"/>
      <c r="H372" s="1750"/>
      <c r="I372" s="1750"/>
      <c r="J372" s="1750"/>
      <c r="N372" s="1976"/>
      <c r="O372" s="1750"/>
    </row>
    <row r="373" spans="1:15" x14ac:dyDescent="0.2">
      <c r="A373" s="1963"/>
      <c r="B373" s="1750"/>
      <c r="C373" s="1750"/>
      <c r="D373" s="1750"/>
      <c r="E373" s="1750"/>
      <c r="F373" s="1750"/>
      <c r="G373" s="1750"/>
      <c r="H373" s="1750"/>
      <c r="I373" s="1750"/>
      <c r="J373" s="1750"/>
      <c r="N373" s="1976"/>
      <c r="O373" s="1750"/>
    </row>
    <row r="374" spans="1:15" x14ac:dyDescent="0.2">
      <c r="A374" s="1963"/>
      <c r="B374" s="1750"/>
      <c r="C374" s="1750"/>
      <c r="D374" s="1750"/>
      <c r="E374" s="1750"/>
      <c r="F374" s="1750"/>
      <c r="G374" s="1750"/>
      <c r="H374" s="1750"/>
      <c r="I374" s="1750"/>
      <c r="J374" s="1750"/>
      <c r="N374" s="1976"/>
      <c r="O374" s="1750"/>
    </row>
    <row r="375" spans="1:15" x14ac:dyDescent="0.2">
      <c r="A375" s="1963"/>
      <c r="B375" s="1750"/>
      <c r="C375" s="1750"/>
      <c r="D375" s="1750"/>
      <c r="E375" s="1750"/>
      <c r="F375" s="1750"/>
      <c r="G375" s="1750"/>
      <c r="H375" s="1750"/>
      <c r="I375" s="1750"/>
      <c r="J375" s="1750"/>
      <c r="N375" s="1976"/>
      <c r="O375" s="1750"/>
    </row>
    <row r="376" spans="1:15" x14ac:dyDescent="0.2">
      <c r="A376" s="1963"/>
      <c r="B376" s="1750"/>
      <c r="C376" s="1750"/>
      <c r="D376" s="1750"/>
      <c r="E376" s="1750"/>
      <c r="F376" s="1750"/>
      <c r="G376" s="1750"/>
      <c r="H376" s="1750"/>
      <c r="I376" s="1750"/>
      <c r="J376" s="1750"/>
      <c r="N376" s="1976"/>
      <c r="O376" s="1750"/>
    </row>
    <row r="377" spans="1:15" x14ac:dyDescent="0.2">
      <c r="A377" s="1963"/>
      <c r="B377" s="1750"/>
      <c r="C377" s="1750"/>
      <c r="D377" s="1750"/>
      <c r="E377" s="1750"/>
      <c r="F377" s="1750"/>
      <c r="G377" s="1750"/>
      <c r="H377" s="1750"/>
      <c r="I377" s="1750"/>
      <c r="J377" s="1750"/>
      <c r="N377" s="1976"/>
      <c r="O377" s="1750"/>
    </row>
    <row r="378" spans="1:15" x14ac:dyDescent="0.2">
      <c r="A378" s="1963"/>
      <c r="B378" s="1750"/>
      <c r="C378" s="1750"/>
      <c r="D378" s="1750"/>
      <c r="E378" s="1750"/>
      <c r="F378" s="1750"/>
      <c r="G378" s="1750"/>
      <c r="H378" s="1750"/>
      <c r="I378" s="1750"/>
      <c r="J378" s="1750"/>
      <c r="N378" s="1976"/>
      <c r="O378" s="1750"/>
    </row>
    <row r="379" spans="1:15" ht="12" thickBot="1" x14ac:dyDescent="0.25">
      <c r="A379" s="1965"/>
      <c r="B379" s="1750"/>
      <c r="C379" s="1750"/>
      <c r="D379" s="1750"/>
      <c r="E379" s="1750"/>
      <c r="F379" s="1750"/>
      <c r="G379" s="1750"/>
      <c r="H379" s="1750"/>
      <c r="I379" s="1750"/>
      <c r="J379" s="1750"/>
      <c r="N379" s="1976"/>
      <c r="O379" s="1750"/>
    </row>
    <row r="380" spans="1:15" x14ac:dyDescent="0.2">
      <c r="B380" s="1750"/>
      <c r="C380" s="1750"/>
      <c r="D380" s="1750"/>
      <c r="E380" s="1750"/>
      <c r="F380" s="1750"/>
      <c r="G380" s="1750"/>
      <c r="H380" s="1750"/>
      <c r="I380" s="1750"/>
      <c r="J380" s="1750"/>
      <c r="N380" s="1976"/>
      <c r="O380" s="1750"/>
    </row>
    <row r="381" spans="1:15" x14ac:dyDescent="0.2">
      <c r="B381" s="1750"/>
      <c r="C381" s="1750"/>
      <c r="D381" s="1750"/>
      <c r="E381" s="1750"/>
      <c r="F381" s="1750"/>
      <c r="G381" s="1750"/>
      <c r="H381" s="1750"/>
      <c r="I381" s="1750"/>
      <c r="J381" s="1750"/>
      <c r="N381" s="1976"/>
      <c r="O381" s="1750"/>
    </row>
    <row r="382" spans="1:15" x14ac:dyDescent="0.2">
      <c r="B382" s="1750"/>
      <c r="C382" s="1750"/>
      <c r="D382" s="1750"/>
      <c r="E382" s="1750"/>
      <c r="F382" s="1750"/>
      <c r="G382" s="1750"/>
      <c r="H382" s="1750"/>
      <c r="I382" s="1750"/>
      <c r="J382" s="1750"/>
      <c r="N382" s="1976"/>
      <c r="O382" s="1750"/>
    </row>
    <row r="383" spans="1:15" x14ac:dyDescent="0.2">
      <c r="B383" s="1750"/>
      <c r="C383" s="1750"/>
      <c r="D383" s="1750"/>
      <c r="E383" s="1750"/>
      <c r="F383" s="1750"/>
      <c r="G383" s="1750"/>
      <c r="H383" s="1750"/>
      <c r="I383" s="1750"/>
      <c r="J383" s="1750"/>
      <c r="N383" s="1976"/>
      <c r="O383" s="1750"/>
    </row>
    <row r="384" spans="1:15" x14ac:dyDescent="0.2">
      <c r="B384" s="1750"/>
      <c r="C384" s="1750"/>
      <c r="D384" s="1750"/>
      <c r="E384" s="1750"/>
      <c r="F384" s="1750"/>
      <c r="G384" s="1750"/>
      <c r="H384" s="1750"/>
      <c r="I384" s="1750"/>
      <c r="J384" s="1750"/>
      <c r="N384" s="1976"/>
      <c r="O384" s="1750"/>
    </row>
    <row r="385" spans="2:15" x14ac:dyDescent="0.2">
      <c r="B385" s="1750"/>
      <c r="C385" s="1750"/>
      <c r="D385" s="1750"/>
      <c r="E385" s="1750"/>
      <c r="F385" s="1750"/>
      <c r="G385" s="1750"/>
      <c r="H385" s="1750"/>
      <c r="I385" s="1750"/>
      <c r="J385" s="1750"/>
      <c r="N385" s="1976"/>
      <c r="O385" s="1750"/>
    </row>
    <row r="386" spans="2:15" x14ac:dyDescent="0.2">
      <c r="B386" s="1750"/>
      <c r="C386" s="1750"/>
      <c r="D386" s="1750"/>
      <c r="E386" s="1750"/>
      <c r="F386" s="1750"/>
      <c r="G386" s="1750"/>
      <c r="H386" s="1750"/>
      <c r="I386" s="1750"/>
      <c r="J386" s="1750"/>
      <c r="N386" s="1976"/>
      <c r="O386" s="1750"/>
    </row>
    <row r="387" spans="2:15" x14ac:dyDescent="0.2">
      <c r="B387" s="1750"/>
      <c r="C387" s="1750"/>
      <c r="D387" s="1750"/>
      <c r="E387" s="1750"/>
      <c r="F387" s="1750"/>
      <c r="G387" s="1750"/>
      <c r="H387" s="1750"/>
      <c r="I387" s="1750"/>
      <c r="J387" s="1750"/>
      <c r="N387" s="1976"/>
      <c r="O387" s="1750"/>
    </row>
    <row r="388" spans="2:15" x14ac:dyDescent="0.2">
      <c r="B388" s="1750"/>
      <c r="C388" s="1750"/>
      <c r="D388" s="1750"/>
      <c r="E388" s="1750"/>
      <c r="F388" s="1750"/>
      <c r="G388" s="1750"/>
      <c r="H388" s="1750"/>
      <c r="I388" s="1750"/>
      <c r="J388" s="1750"/>
      <c r="N388" s="1976"/>
      <c r="O388" s="1750"/>
    </row>
    <row r="389" spans="2:15" x14ac:dyDescent="0.2">
      <c r="B389" s="1750"/>
      <c r="C389" s="1750"/>
      <c r="D389" s="1750"/>
      <c r="E389" s="1750"/>
      <c r="F389" s="1750"/>
      <c r="G389" s="1750"/>
      <c r="H389" s="1750"/>
      <c r="I389" s="1750"/>
      <c r="J389" s="1750"/>
      <c r="N389" s="1976"/>
      <c r="O389" s="1750"/>
    </row>
    <row r="390" spans="2:15" x14ac:dyDescent="0.2">
      <c r="B390" s="1750"/>
      <c r="C390" s="1750"/>
      <c r="D390" s="1750"/>
      <c r="E390" s="1750"/>
      <c r="F390" s="1750"/>
      <c r="G390" s="1750"/>
      <c r="H390" s="1750"/>
      <c r="I390" s="1750"/>
      <c r="J390" s="1750"/>
      <c r="N390" s="1976"/>
      <c r="O390" s="1750"/>
    </row>
    <row r="391" spans="2:15" x14ac:dyDescent="0.2">
      <c r="B391" s="1750"/>
      <c r="C391" s="1750"/>
      <c r="D391" s="1750"/>
      <c r="E391" s="1750"/>
      <c r="F391" s="1750"/>
      <c r="G391" s="1750"/>
      <c r="H391" s="1750"/>
      <c r="I391" s="1750"/>
      <c r="J391" s="1750"/>
      <c r="N391" s="1976"/>
      <c r="O391" s="1750"/>
    </row>
    <row r="392" spans="2:15" x14ac:dyDescent="0.2">
      <c r="B392" s="1750"/>
      <c r="C392" s="1750"/>
      <c r="D392" s="1750"/>
      <c r="E392" s="1750"/>
      <c r="F392" s="1750"/>
      <c r="G392" s="1750"/>
      <c r="H392" s="1750"/>
      <c r="I392" s="1750"/>
      <c r="J392" s="1750"/>
      <c r="N392" s="1976"/>
      <c r="O392" s="1750"/>
    </row>
    <row r="393" spans="2:15" x14ac:dyDescent="0.2">
      <c r="B393" s="1750"/>
      <c r="C393" s="1750"/>
      <c r="D393" s="1750"/>
      <c r="E393" s="1750"/>
      <c r="F393" s="1750"/>
      <c r="G393" s="1750"/>
      <c r="H393" s="1750"/>
      <c r="I393" s="1750"/>
      <c r="J393" s="1750"/>
      <c r="N393" s="1976"/>
      <c r="O393" s="1750"/>
    </row>
    <row r="394" spans="2:15" x14ac:dyDescent="0.2">
      <c r="B394" s="1750"/>
      <c r="C394" s="1750"/>
      <c r="D394" s="1750"/>
      <c r="E394" s="1750"/>
      <c r="F394" s="1750"/>
      <c r="G394" s="1750"/>
      <c r="H394" s="1750"/>
      <c r="I394" s="1750"/>
      <c r="J394" s="1750"/>
      <c r="N394" s="1976"/>
      <c r="O394" s="1750"/>
    </row>
    <row r="395" spans="2:15" x14ac:dyDescent="0.2">
      <c r="B395" s="1750"/>
      <c r="C395" s="1750"/>
      <c r="D395" s="1750"/>
      <c r="E395" s="1750"/>
      <c r="F395" s="1750"/>
      <c r="G395" s="1750"/>
      <c r="H395" s="1750"/>
      <c r="I395" s="1750"/>
      <c r="J395" s="1750"/>
      <c r="N395" s="1976"/>
      <c r="O395" s="1750"/>
    </row>
    <row r="396" spans="2:15" x14ac:dyDescent="0.2">
      <c r="B396" s="1750"/>
      <c r="C396" s="1750"/>
      <c r="D396" s="1750"/>
      <c r="E396" s="1750"/>
      <c r="F396" s="1750"/>
      <c r="G396" s="1750"/>
      <c r="H396" s="1750"/>
      <c r="I396" s="1750"/>
      <c r="J396" s="1750"/>
      <c r="N396" s="1976"/>
      <c r="O396" s="1750"/>
    </row>
    <row r="397" spans="2:15" x14ac:dyDescent="0.2">
      <c r="B397" s="1750"/>
      <c r="C397" s="1750"/>
      <c r="D397" s="1750"/>
      <c r="E397" s="1750"/>
      <c r="F397" s="1750"/>
      <c r="G397" s="1750"/>
      <c r="H397" s="1750"/>
      <c r="I397" s="1750"/>
      <c r="J397" s="1750"/>
      <c r="N397" s="1976"/>
      <c r="O397" s="1750"/>
    </row>
    <row r="398" spans="2:15" x14ac:dyDescent="0.2">
      <c r="B398" s="1750"/>
      <c r="C398" s="1750"/>
      <c r="D398" s="1750"/>
      <c r="E398" s="1750"/>
      <c r="F398" s="1750"/>
      <c r="G398" s="1750"/>
      <c r="H398" s="1750"/>
      <c r="I398" s="1750"/>
      <c r="J398" s="1750"/>
      <c r="N398" s="1976"/>
      <c r="O398" s="1750"/>
    </row>
    <row r="399" spans="2:15" x14ac:dyDescent="0.2">
      <c r="B399" s="1750"/>
      <c r="C399" s="1750"/>
      <c r="D399" s="1750"/>
      <c r="E399" s="1750"/>
      <c r="F399" s="1750"/>
      <c r="G399" s="1750"/>
      <c r="H399" s="1750"/>
      <c r="I399" s="1750"/>
      <c r="J399" s="1750"/>
      <c r="N399" s="1976"/>
      <c r="O399" s="1750"/>
    </row>
    <row r="400" spans="2:15" x14ac:dyDescent="0.2">
      <c r="B400" s="1750"/>
      <c r="C400" s="1750"/>
      <c r="D400" s="1750"/>
      <c r="E400" s="1750"/>
      <c r="F400" s="1750"/>
      <c r="G400" s="1750"/>
      <c r="H400" s="1750"/>
      <c r="I400" s="1750"/>
      <c r="J400" s="1750"/>
      <c r="N400" s="1976"/>
      <c r="O400" s="1750"/>
    </row>
    <row r="401" spans="1:15" x14ac:dyDescent="0.2">
      <c r="B401" s="1750"/>
      <c r="C401" s="1750"/>
      <c r="D401" s="1750"/>
      <c r="E401" s="1750"/>
      <c r="F401" s="1750"/>
      <c r="G401" s="1750"/>
      <c r="H401" s="1750"/>
      <c r="I401" s="1750"/>
      <c r="J401" s="1750"/>
      <c r="N401" s="1976"/>
      <c r="O401" s="1750"/>
    </row>
    <row r="402" spans="1:15" x14ac:dyDescent="0.2">
      <c r="B402" s="1750"/>
      <c r="C402" s="1750"/>
      <c r="D402" s="1750"/>
      <c r="E402" s="1750"/>
      <c r="F402" s="1750"/>
      <c r="G402" s="1750"/>
      <c r="H402" s="1750"/>
      <c r="I402" s="1750"/>
      <c r="J402" s="1750"/>
      <c r="N402" s="1976"/>
      <c r="O402" s="1750"/>
    </row>
    <row r="403" spans="1:15" x14ac:dyDescent="0.2">
      <c r="B403" s="1750"/>
      <c r="C403" s="1750"/>
      <c r="D403" s="1750"/>
      <c r="E403" s="1750"/>
      <c r="F403" s="1750"/>
      <c r="G403" s="1750"/>
      <c r="H403" s="1750"/>
      <c r="I403" s="1750"/>
      <c r="J403" s="1750"/>
      <c r="N403" s="1976"/>
      <c r="O403" s="1750"/>
    </row>
    <row r="404" spans="1:15" x14ac:dyDescent="0.2">
      <c r="B404" s="1750"/>
      <c r="C404" s="1750"/>
      <c r="D404" s="1750"/>
      <c r="E404" s="1750"/>
      <c r="F404" s="1750"/>
      <c r="G404" s="1750"/>
      <c r="H404" s="1750"/>
      <c r="I404" s="1750"/>
      <c r="J404" s="1750"/>
      <c r="N404" s="1976"/>
      <c r="O404" s="1750"/>
    </row>
    <row r="405" spans="1:15" x14ac:dyDescent="0.2">
      <c r="B405" s="1750"/>
      <c r="C405" s="1750"/>
      <c r="D405" s="1750"/>
      <c r="E405" s="1750"/>
      <c r="F405" s="1750"/>
      <c r="G405" s="1750"/>
      <c r="H405" s="1750"/>
      <c r="I405" s="1750"/>
      <c r="J405" s="1750"/>
      <c r="N405" s="1976"/>
      <c r="O405" s="1750"/>
    </row>
    <row r="406" spans="1:15" ht="12" thickBot="1" x14ac:dyDescent="0.25">
      <c r="B406" s="1750"/>
      <c r="C406" s="1750"/>
      <c r="D406" s="1750"/>
      <c r="E406" s="1750"/>
      <c r="F406" s="1750"/>
      <c r="G406" s="1750"/>
      <c r="H406" s="1750"/>
      <c r="I406" s="1750"/>
      <c r="J406" s="1750"/>
      <c r="N406" s="1976"/>
      <c r="O406" s="1750"/>
    </row>
    <row r="407" spans="1:15" x14ac:dyDescent="0.2">
      <c r="A407" s="1969"/>
      <c r="B407" s="1750"/>
      <c r="C407" s="1750"/>
      <c r="D407" s="1750"/>
      <c r="E407" s="1750"/>
      <c r="F407" s="1750"/>
      <c r="G407" s="1750"/>
      <c r="H407" s="1750"/>
      <c r="I407" s="1750"/>
      <c r="J407" s="1750"/>
      <c r="N407" s="1976"/>
      <c r="O407" s="1750"/>
    </row>
    <row r="408" spans="1:15" x14ac:dyDescent="0.2">
      <c r="A408" s="1963"/>
      <c r="B408" s="1750"/>
      <c r="C408" s="1750"/>
      <c r="D408" s="1750"/>
      <c r="E408" s="1750"/>
      <c r="F408" s="1750"/>
      <c r="G408" s="1750"/>
      <c r="H408" s="1750"/>
      <c r="I408" s="1750"/>
      <c r="J408" s="1750"/>
      <c r="N408" s="1976"/>
      <c r="O408" s="1750"/>
    </row>
    <row r="409" spans="1:15" x14ac:dyDescent="0.2">
      <c r="A409" s="1963"/>
      <c r="B409" s="1750"/>
      <c r="C409" s="1750"/>
      <c r="D409" s="1750"/>
      <c r="E409" s="1750"/>
      <c r="F409" s="1750"/>
      <c r="G409" s="1750"/>
      <c r="H409" s="1750"/>
      <c r="I409" s="1750"/>
      <c r="J409" s="1750"/>
      <c r="N409" s="1976"/>
      <c r="O409" s="1750"/>
    </row>
    <row r="410" spans="1:15" x14ac:dyDescent="0.2">
      <c r="A410" s="1963"/>
      <c r="B410" s="1750"/>
      <c r="C410" s="1750"/>
      <c r="D410" s="1750"/>
      <c r="E410" s="1750"/>
      <c r="F410" s="1750"/>
      <c r="G410" s="1750"/>
      <c r="H410" s="1750"/>
      <c r="I410" s="1750"/>
      <c r="J410" s="1750"/>
      <c r="N410" s="1976"/>
      <c r="O410" s="1750"/>
    </row>
    <row r="411" spans="1:15" x14ac:dyDescent="0.2">
      <c r="A411" s="1963"/>
      <c r="B411" s="1750"/>
      <c r="C411" s="1750"/>
      <c r="D411" s="1750"/>
      <c r="E411" s="1750"/>
      <c r="F411" s="1750"/>
      <c r="G411" s="1750"/>
      <c r="H411" s="1750"/>
      <c r="I411" s="1750"/>
      <c r="J411" s="1750"/>
      <c r="N411" s="1976"/>
      <c r="O411" s="1750"/>
    </row>
    <row r="412" spans="1:15" x14ac:dyDescent="0.2">
      <c r="A412" s="1963"/>
      <c r="B412" s="1750"/>
      <c r="C412" s="1750"/>
      <c r="D412" s="1750"/>
      <c r="E412" s="1750"/>
      <c r="F412" s="1750"/>
      <c r="G412" s="1750"/>
      <c r="H412" s="1750"/>
      <c r="I412" s="1750"/>
      <c r="J412" s="1750"/>
      <c r="N412" s="1976"/>
      <c r="O412" s="1750"/>
    </row>
    <row r="413" spans="1:15" x14ac:dyDescent="0.2">
      <c r="A413" s="1963"/>
      <c r="B413" s="1750"/>
      <c r="C413" s="1750"/>
      <c r="D413" s="1750"/>
      <c r="E413" s="1750"/>
      <c r="F413" s="1750"/>
      <c r="G413" s="1750"/>
      <c r="H413" s="1750"/>
      <c r="I413" s="1750"/>
      <c r="J413" s="1750"/>
      <c r="N413" s="1976"/>
      <c r="O413" s="1750"/>
    </row>
    <row r="414" spans="1:15" x14ac:dyDescent="0.2">
      <c r="A414" s="1963"/>
      <c r="B414" s="1750"/>
      <c r="C414" s="1750"/>
      <c r="D414" s="1750"/>
      <c r="E414" s="1750"/>
      <c r="F414" s="1750"/>
      <c r="G414" s="1750"/>
      <c r="H414" s="1750"/>
      <c r="I414" s="1750"/>
      <c r="J414" s="1750"/>
      <c r="N414" s="1976"/>
      <c r="O414" s="1750"/>
    </row>
    <row r="415" spans="1:15" x14ac:dyDescent="0.2">
      <c r="A415" s="1963"/>
      <c r="B415" s="1750"/>
      <c r="C415" s="1750"/>
      <c r="D415" s="1750"/>
      <c r="E415" s="1750"/>
      <c r="F415" s="1750"/>
      <c r="G415" s="1750"/>
      <c r="H415" s="1750"/>
      <c r="I415" s="1750"/>
      <c r="J415" s="1750"/>
      <c r="N415" s="1976"/>
      <c r="O415" s="1750"/>
    </row>
    <row r="416" spans="1:15" x14ac:dyDescent="0.2">
      <c r="A416" s="1963"/>
      <c r="B416" s="1750"/>
      <c r="C416" s="1750"/>
      <c r="D416" s="1750"/>
      <c r="E416" s="1750"/>
      <c r="F416" s="1750"/>
      <c r="G416" s="1750"/>
      <c r="H416" s="1750"/>
      <c r="I416" s="1750"/>
      <c r="J416" s="1750"/>
      <c r="N416" s="1976"/>
      <c r="O416" s="1750"/>
    </row>
    <row r="417" spans="1:15" x14ac:dyDescent="0.2">
      <c r="A417" s="1963"/>
      <c r="B417" s="1750"/>
      <c r="C417" s="1750"/>
      <c r="D417" s="1750"/>
      <c r="E417" s="1750"/>
      <c r="F417" s="1750"/>
      <c r="G417" s="1750"/>
      <c r="H417" s="1750"/>
      <c r="I417" s="1750"/>
      <c r="J417" s="1750"/>
      <c r="N417" s="1976"/>
      <c r="O417" s="1750"/>
    </row>
    <row r="418" spans="1:15" x14ac:dyDescent="0.2">
      <c r="A418" s="1963"/>
      <c r="B418" s="1750"/>
      <c r="C418" s="1750"/>
      <c r="D418" s="1750"/>
      <c r="E418" s="1750"/>
      <c r="F418" s="1750"/>
      <c r="G418" s="1750"/>
      <c r="H418" s="1750"/>
      <c r="I418" s="1750"/>
      <c r="J418" s="1750"/>
      <c r="N418" s="1976"/>
      <c r="O418" s="1750"/>
    </row>
    <row r="419" spans="1:15" x14ac:dyDescent="0.2">
      <c r="A419" s="1963"/>
      <c r="B419" s="1750"/>
      <c r="C419" s="1750"/>
      <c r="D419" s="1750"/>
      <c r="E419" s="1750"/>
      <c r="F419" s="1750"/>
      <c r="G419" s="1750"/>
      <c r="H419" s="1750"/>
      <c r="I419" s="1750"/>
      <c r="J419" s="1750"/>
      <c r="N419" s="1976"/>
      <c r="O419" s="1750"/>
    </row>
    <row r="420" spans="1:15" ht="12" thickBot="1" x14ac:dyDescent="0.25">
      <c r="A420" s="1965"/>
      <c r="B420" s="1750"/>
      <c r="C420" s="1750"/>
      <c r="D420" s="1750"/>
      <c r="E420" s="1750"/>
      <c r="F420" s="1750"/>
      <c r="G420" s="1750"/>
      <c r="H420" s="1750"/>
      <c r="I420" s="1750"/>
      <c r="J420" s="1750"/>
      <c r="N420" s="1976"/>
      <c r="O420" s="1750"/>
    </row>
    <row r="421" spans="1:15" x14ac:dyDescent="0.2">
      <c r="A421" s="1969"/>
      <c r="B421" s="1750"/>
      <c r="C421" s="1750"/>
      <c r="D421" s="1750"/>
      <c r="E421" s="1750"/>
      <c r="F421" s="1750"/>
      <c r="G421" s="1750"/>
      <c r="H421" s="1750"/>
      <c r="I421" s="1750"/>
      <c r="J421" s="1750"/>
      <c r="N421" s="1976"/>
      <c r="O421" s="1750"/>
    </row>
    <row r="422" spans="1:15" x14ac:dyDescent="0.2">
      <c r="A422" s="1963"/>
      <c r="B422" s="1750"/>
      <c r="C422" s="1750"/>
      <c r="D422" s="1750"/>
      <c r="E422" s="1750"/>
      <c r="F422" s="1750"/>
      <c r="G422" s="1750"/>
      <c r="H422" s="1750"/>
      <c r="I422" s="1750"/>
      <c r="J422" s="1750"/>
      <c r="N422" s="1976"/>
      <c r="O422" s="1750"/>
    </row>
    <row r="423" spans="1:15" x14ac:dyDescent="0.2">
      <c r="A423" s="1963"/>
      <c r="B423" s="1750"/>
      <c r="C423" s="1750"/>
      <c r="D423" s="1750"/>
      <c r="E423" s="1750"/>
      <c r="F423" s="1750"/>
      <c r="G423" s="1750"/>
      <c r="H423" s="1750"/>
      <c r="I423" s="1750"/>
      <c r="J423" s="1750"/>
      <c r="N423" s="1976"/>
      <c r="O423" s="1750"/>
    </row>
    <row r="424" spans="1:15" x14ac:dyDescent="0.2">
      <c r="A424" s="1963"/>
      <c r="B424" s="1750"/>
      <c r="C424" s="1750"/>
      <c r="D424" s="1750"/>
      <c r="E424" s="1750"/>
      <c r="F424" s="1750"/>
      <c r="G424" s="1750"/>
      <c r="H424" s="1750"/>
      <c r="I424" s="1750"/>
      <c r="J424" s="1750"/>
      <c r="N424" s="1976"/>
      <c r="O424" s="1750"/>
    </row>
    <row r="425" spans="1:15" x14ac:dyDescent="0.2">
      <c r="A425" s="1963"/>
      <c r="B425" s="1750"/>
      <c r="C425" s="1750"/>
      <c r="D425" s="1750"/>
      <c r="E425" s="1750"/>
      <c r="F425" s="1750"/>
      <c r="G425" s="1750"/>
      <c r="H425" s="1750"/>
      <c r="I425" s="1750"/>
      <c r="J425" s="1750"/>
      <c r="N425" s="1976"/>
      <c r="O425" s="1750"/>
    </row>
    <row r="426" spans="1:15" x14ac:dyDescent="0.2">
      <c r="A426" s="1963"/>
      <c r="B426" s="1750"/>
      <c r="C426" s="1750"/>
      <c r="D426" s="1750"/>
      <c r="E426" s="1750"/>
      <c r="F426" s="1750"/>
      <c r="G426" s="1750"/>
      <c r="H426" s="1750"/>
      <c r="I426" s="1750"/>
      <c r="J426" s="1750"/>
      <c r="N426" s="1976"/>
      <c r="O426" s="1750"/>
    </row>
    <row r="427" spans="1:15" x14ac:dyDescent="0.2">
      <c r="A427" s="1963"/>
      <c r="B427" s="1750"/>
      <c r="C427" s="1750"/>
      <c r="D427" s="1750"/>
      <c r="E427" s="1750"/>
      <c r="F427" s="1750"/>
      <c r="G427" s="1750"/>
      <c r="H427" s="1750"/>
      <c r="I427" s="1750"/>
      <c r="J427" s="1750"/>
      <c r="N427" s="1976"/>
      <c r="O427" s="1750"/>
    </row>
    <row r="428" spans="1:15" x14ac:dyDescent="0.2">
      <c r="A428" s="1963"/>
      <c r="B428" s="1750"/>
      <c r="C428" s="1750"/>
      <c r="D428" s="1750"/>
      <c r="E428" s="1750"/>
      <c r="F428" s="1750"/>
      <c r="G428" s="1750"/>
      <c r="H428" s="1750"/>
      <c r="I428" s="1750"/>
      <c r="J428" s="1750"/>
      <c r="N428" s="1976"/>
      <c r="O428" s="1750"/>
    </row>
    <row r="429" spans="1:15" x14ac:dyDescent="0.2">
      <c r="A429" s="1963"/>
      <c r="B429" s="1750"/>
      <c r="C429" s="1750"/>
      <c r="D429" s="1750"/>
      <c r="E429" s="1750"/>
      <c r="F429" s="1750"/>
      <c r="G429" s="1750"/>
      <c r="H429" s="1750"/>
      <c r="I429" s="1750"/>
      <c r="J429" s="1750"/>
      <c r="N429" s="1976"/>
      <c r="O429" s="1750"/>
    </row>
    <row r="430" spans="1:15" x14ac:dyDescent="0.2">
      <c r="A430" s="1963"/>
      <c r="B430" s="1750"/>
      <c r="C430" s="1750"/>
      <c r="D430" s="1750"/>
      <c r="E430" s="1750"/>
      <c r="F430" s="1750"/>
      <c r="G430" s="1750"/>
      <c r="H430" s="1750"/>
      <c r="I430" s="1750"/>
      <c r="J430" s="1750"/>
      <c r="N430" s="1976"/>
      <c r="O430" s="1750"/>
    </row>
    <row r="431" spans="1:15" x14ac:dyDescent="0.2">
      <c r="A431" s="1963"/>
      <c r="B431" s="1750"/>
      <c r="C431" s="1750"/>
      <c r="D431" s="1750"/>
      <c r="E431" s="1750"/>
      <c r="F431" s="1750"/>
      <c r="G431" s="1750"/>
      <c r="H431" s="1750"/>
      <c r="I431" s="1750"/>
      <c r="J431" s="1750"/>
      <c r="N431" s="1976"/>
      <c r="O431" s="1750"/>
    </row>
    <row r="432" spans="1:15" x14ac:dyDescent="0.2">
      <c r="A432" s="1963"/>
      <c r="B432" s="1750"/>
      <c r="C432" s="1750"/>
      <c r="D432" s="1750"/>
      <c r="E432" s="1750"/>
      <c r="F432" s="1750"/>
      <c r="G432" s="1750"/>
      <c r="H432" s="1750"/>
      <c r="I432" s="1750"/>
      <c r="J432" s="1750"/>
      <c r="N432" s="1976"/>
      <c r="O432" s="1750"/>
    </row>
    <row r="433" spans="1:15" x14ac:dyDescent="0.2">
      <c r="A433" s="1963"/>
      <c r="B433" s="1750"/>
      <c r="C433" s="1750"/>
      <c r="D433" s="1750"/>
      <c r="E433" s="1750"/>
      <c r="F433" s="1750"/>
      <c r="G433" s="1750"/>
      <c r="H433" s="1750"/>
      <c r="I433" s="1750"/>
      <c r="J433" s="1750"/>
      <c r="N433" s="1976"/>
      <c r="O433" s="1750"/>
    </row>
    <row r="434" spans="1:15" ht="12" thickBot="1" x14ac:dyDescent="0.25">
      <c r="A434" s="1965"/>
      <c r="B434" s="1750"/>
      <c r="C434" s="1750"/>
      <c r="D434" s="1750"/>
      <c r="E434" s="1750"/>
      <c r="F434" s="1750"/>
      <c r="G434" s="1750"/>
      <c r="H434" s="1750"/>
      <c r="I434" s="1750"/>
      <c r="J434" s="1750"/>
      <c r="N434" s="1976"/>
      <c r="O434" s="1750"/>
    </row>
    <row r="435" spans="1:15" x14ac:dyDescent="0.2">
      <c r="B435" s="1750"/>
      <c r="C435" s="1750"/>
      <c r="D435" s="1750"/>
      <c r="E435" s="1750"/>
      <c r="F435" s="1750"/>
      <c r="G435" s="1750"/>
      <c r="H435" s="1750"/>
      <c r="I435" s="1750"/>
      <c r="J435" s="1750"/>
      <c r="N435" s="1976"/>
      <c r="O435" s="1750"/>
    </row>
    <row r="436" spans="1:15" x14ac:dyDescent="0.2">
      <c r="B436" s="1750"/>
      <c r="C436" s="1750"/>
      <c r="D436" s="1750"/>
      <c r="E436" s="1750"/>
      <c r="F436" s="1750"/>
      <c r="G436" s="1750"/>
      <c r="H436" s="1750"/>
      <c r="I436" s="1750"/>
      <c r="J436" s="1750"/>
      <c r="N436" s="1976"/>
      <c r="O436" s="1750"/>
    </row>
    <row r="437" spans="1:15" x14ac:dyDescent="0.2">
      <c r="B437" s="1750"/>
      <c r="C437" s="1750"/>
      <c r="D437" s="1750"/>
      <c r="E437" s="1750"/>
      <c r="F437" s="1750"/>
      <c r="G437" s="1750"/>
      <c r="H437" s="1750"/>
      <c r="I437" s="1750"/>
      <c r="J437" s="1750"/>
      <c r="N437" s="1976"/>
      <c r="O437" s="1750"/>
    </row>
    <row r="438" spans="1:15" x14ac:dyDescent="0.2">
      <c r="B438" s="1750"/>
      <c r="C438" s="1750"/>
      <c r="D438" s="1750"/>
      <c r="E438" s="1750"/>
      <c r="F438" s="1750"/>
      <c r="G438" s="1750"/>
      <c r="H438" s="1750"/>
      <c r="I438" s="1750"/>
      <c r="J438" s="1750"/>
      <c r="N438" s="1976"/>
      <c r="O438" s="1750"/>
    </row>
    <row r="439" spans="1:15" x14ac:dyDescent="0.2">
      <c r="B439" s="1750"/>
      <c r="C439" s="1750"/>
      <c r="D439" s="1750"/>
      <c r="E439" s="1750"/>
      <c r="F439" s="1750"/>
      <c r="G439" s="1750"/>
      <c r="H439" s="1750"/>
      <c r="I439" s="1750"/>
      <c r="J439" s="1750"/>
      <c r="N439" s="1976"/>
      <c r="O439" s="1750"/>
    </row>
    <row r="440" spans="1:15" x14ac:dyDescent="0.2">
      <c r="B440" s="1750"/>
      <c r="C440" s="1750"/>
      <c r="D440" s="1750"/>
      <c r="E440" s="1750"/>
      <c r="F440" s="1750"/>
      <c r="G440" s="1750"/>
      <c r="H440" s="1750"/>
      <c r="I440" s="1750"/>
      <c r="J440" s="1750"/>
      <c r="N440" s="1976"/>
      <c r="O440" s="1750"/>
    </row>
    <row r="441" spans="1:15" x14ac:dyDescent="0.2">
      <c r="B441" s="1750"/>
      <c r="C441" s="1750"/>
      <c r="D441" s="1750"/>
      <c r="E441" s="1750"/>
      <c r="F441" s="1750"/>
      <c r="G441" s="1750"/>
      <c r="H441" s="1750"/>
      <c r="I441" s="1750"/>
      <c r="J441" s="1750"/>
      <c r="N441" s="1976"/>
      <c r="O441" s="1750"/>
    </row>
    <row r="442" spans="1:15" x14ac:dyDescent="0.2">
      <c r="B442" s="1750"/>
      <c r="C442" s="1750"/>
      <c r="D442" s="1750"/>
      <c r="E442" s="1750"/>
      <c r="F442" s="1750"/>
      <c r="G442" s="1750"/>
      <c r="H442" s="1750"/>
      <c r="I442" s="1750"/>
      <c r="J442" s="1750"/>
      <c r="N442" s="1976"/>
      <c r="O442" s="1750"/>
    </row>
    <row r="443" spans="1:15" ht="12" thickBot="1" x14ac:dyDescent="0.25">
      <c r="B443" s="1750"/>
      <c r="C443" s="1750"/>
      <c r="D443" s="1750"/>
      <c r="E443" s="1750"/>
      <c r="F443" s="1750"/>
      <c r="G443" s="1750"/>
      <c r="H443" s="1750"/>
      <c r="I443" s="1750"/>
      <c r="J443" s="1750"/>
      <c r="N443" s="1976"/>
      <c r="O443" s="1750"/>
    </row>
    <row r="444" spans="1:15" x14ac:dyDescent="0.2">
      <c r="A444" s="1969"/>
      <c r="B444" s="1750"/>
      <c r="C444" s="1750"/>
      <c r="D444" s="1750"/>
      <c r="E444" s="1750"/>
      <c r="F444" s="1750"/>
      <c r="G444" s="1750"/>
      <c r="H444" s="1750"/>
      <c r="I444" s="1750"/>
      <c r="J444" s="1750"/>
      <c r="N444" s="1976"/>
      <c r="O444" s="1750"/>
    </row>
    <row r="445" spans="1:15" x14ac:dyDescent="0.2">
      <c r="A445" s="1963"/>
      <c r="B445" s="1750"/>
      <c r="C445" s="1750"/>
      <c r="D445" s="1750"/>
      <c r="E445" s="1750"/>
      <c r="F445" s="1750"/>
      <c r="G445" s="1750"/>
      <c r="H445" s="1750"/>
      <c r="I445" s="1750"/>
      <c r="J445" s="1750"/>
      <c r="N445" s="1976"/>
      <c r="O445" s="1750"/>
    </row>
    <row r="446" spans="1:15" x14ac:dyDescent="0.2">
      <c r="A446" s="1963"/>
      <c r="B446" s="1750"/>
      <c r="C446" s="1750"/>
      <c r="D446" s="1750"/>
      <c r="E446" s="1750"/>
      <c r="F446" s="1750"/>
      <c r="G446" s="1750"/>
      <c r="H446" s="1750"/>
      <c r="I446" s="1750"/>
      <c r="J446" s="1750"/>
      <c r="N446" s="1976"/>
      <c r="O446" s="1750"/>
    </row>
    <row r="447" spans="1:15" x14ac:dyDescent="0.2">
      <c r="A447" s="1963"/>
      <c r="B447" s="1750"/>
      <c r="C447" s="1750"/>
      <c r="D447" s="1750"/>
      <c r="E447" s="1750"/>
      <c r="F447" s="1750"/>
      <c r="G447" s="1750"/>
      <c r="H447" s="1750"/>
      <c r="I447" s="1750"/>
      <c r="J447" s="1750"/>
      <c r="N447" s="1976"/>
      <c r="O447" s="1750"/>
    </row>
    <row r="448" spans="1:15" x14ac:dyDescent="0.2">
      <c r="A448" s="1963"/>
      <c r="B448" s="1750"/>
      <c r="C448" s="1750"/>
      <c r="D448" s="1750"/>
      <c r="E448" s="1750"/>
      <c r="F448" s="1750"/>
      <c r="G448" s="1750"/>
      <c r="H448" s="1750"/>
      <c r="I448" s="1750"/>
      <c r="J448" s="1750"/>
      <c r="N448" s="1976"/>
      <c r="O448" s="1750"/>
    </row>
    <row r="449" spans="1:15" x14ac:dyDescent="0.2">
      <c r="A449" s="1963"/>
      <c r="B449" s="1750"/>
      <c r="C449" s="1750"/>
      <c r="D449" s="1750"/>
      <c r="E449" s="1750"/>
      <c r="F449" s="1750"/>
      <c r="G449" s="1750"/>
      <c r="H449" s="1750"/>
      <c r="I449" s="1750"/>
      <c r="J449" s="1750"/>
      <c r="N449" s="1976"/>
      <c r="O449" s="1750"/>
    </row>
    <row r="450" spans="1:15" x14ac:dyDescent="0.2">
      <c r="A450" s="1963"/>
      <c r="B450" s="1750"/>
      <c r="C450" s="1750"/>
      <c r="D450" s="1750"/>
      <c r="E450" s="1750"/>
      <c r="F450" s="1750"/>
      <c r="G450" s="1750"/>
      <c r="H450" s="1750"/>
      <c r="I450" s="1750"/>
      <c r="J450" s="1750"/>
      <c r="N450" s="1976"/>
      <c r="O450" s="1750"/>
    </row>
    <row r="451" spans="1:15" x14ac:dyDescent="0.2">
      <c r="A451" s="1963"/>
      <c r="B451" s="1750"/>
      <c r="C451" s="1750"/>
      <c r="D451" s="1750"/>
      <c r="E451" s="1750"/>
      <c r="F451" s="1750"/>
      <c r="G451" s="1750"/>
      <c r="H451" s="1750"/>
      <c r="I451" s="1750"/>
      <c r="J451" s="1750"/>
      <c r="N451" s="1976"/>
      <c r="O451" s="1750"/>
    </row>
    <row r="452" spans="1:15" ht="12" thickBot="1" x14ac:dyDescent="0.25">
      <c r="A452" s="1965"/>
      <c r="B452" s="1750"/>
      <c r="C452" s="1750"/>
      <c r="D452" s="1750"/>
      <c r="E452" s="1750"/>
      <c r="F452" s="1750"/>
      <c r="G452" s="1750"/>
      <c r="H452" s="1750"/>
      <c r="I452" s="1750"/>
      <c r="J452" s="1750"/>
      <c r="N452" s="1976"/>
      <c r="O452" s="1750"/>
    </row>
    <row r="453" spans="1:15" x14ac:dyDescent="0.2">
      <c r="B453" s="1750"/>
      <c r="C453" s="1750"/>
      <c r="D453" s="1750"/>
      <c r="E453" s="1750"/>
      <c r="F453" s="1750"/>
      <c r="G453" s="1750"/>
      <c r="H453" s="1750"/>
      <c r="I453" s="1750"/>
      <c r="J453" s="1750"/>
      <c r="N453" s="1976"/>
      <c r="O453" s="1750"/>
    </row>
    <row r="454" spans="1:15" x14ac:dyDescent="0.2">
      <c r="B454" s="1750"/>
      <c r="C454" s="1750"/>
      <c r="D454" s="1750"/>
      <c r="E454" s="1750"/>
      <c r="F454" s="1750"/>
      <c r="G454" s="1750"/>
      <c r="H454" s="1750"/>
      <c r="I454" s="1750"/>
      <c r="J454" s="1750"/>
      <c r="N454" s="1976"/>
      <c r="O454" s="1750"/>
    </row>
    <row r="455" spans="1:15" x14ac:dyDescent="0.2">
      <c r="B455" s="1750"/>
      <c r="C455" s="1750"/>
      <c r="D455" s="1750"/>
      <c r="E455" s="1750"/>
      <c r="F455" s="1750"/>
      <c r="G455" s="1750"/>
      <c r="H455" s="1750"/>
      <c r="I455" s="1750"/>
      <c r="J455" s="1750"/>
      <c r="N455" s="1976"/>
      <c r="O455" s="1750"/>
    </row>
    <row r="456" spans="1:15" x14ac:dyDescent="0.2">
      <c r="B456" s="1750"/>
      <c r="C456" s="1750"/>
      <c r="D456" s="1750"/>
      <c r="E456" s="1750"/>
      <c r="F456" s="1750"/>
      <c r="G456" s="1750"/>
      <c r="H456" s="1750"/>
      <c r="I456" s="1750"/>
      <c r="J456" s="1750"/>
      <c r="N456" s="1976"/>
      <c r="O456" s="1750"/>
    </row>
    <row r="457" spans="1:15" x14ac:dyDescent="0.2">
      <c r="B457" s="1750"/>
      <c r="C457" s="1750"/>
      <c r="D457" s="1750"/>
      <c r="E457" s="1750"/>
      <c r="F457" s="1750"/>
      <c r="G457" s="1750"/>
      <c r="H457" s="1750"/>
      <c r="I457" s="1750"/>
      <c r="J457" s="1750"/>
      <c r="N457" s="1976"/>
      <c r="O457" s="1750"/>
    </row>
    <row r="458" spans="1:15" x14ac:dyDescent="0.2">
      <c r="B458" s="1750"/>
      <c r="C458" s="1750"/>
      <c r="D458" s="1750"/>
      <c r="E458" s="1750"/>
      <c r="F458" s="1750"/>
      <c r="G458" s="1750"/>
      <c r="H458" s="1750"/>
      <c r="I458" s="1750"/>
      <c r="J458" s="1750"/>
      <c r="N458" s="1976"/>
      <c r="O458" s="1750"/>
    </row>
    <row r="459" spans="1:15" x14ac:dyDescent="0.2">
      <c r="B459" s="1750"/>
      <c r="C459" s="1750"/>
      <c r="D459" s="1750"/>
      <c r="E459" s="1750"/>
      <c r="F459" s="1750"/>
      <c r="G459" s="1750"/>
      <c r="H459" s="1750"/>
      <c r="I459" s="1750"/>
      <c r="J459" s="1750"/>
      <c r="N459" s="1976"/>
      <c r="O459" s="1750"/>
    </row>
    <row r="460" spans="1:15" x14ac:dyDescent="0.2">
      <c r="B460" s="1750"/>
      <c r="C460" s="1750"/>
      <c r="D460" s="1750"/>
      <c r="E460" s="1750"/>
      <c r="F460" s="1750"/>
      <c r="G460" s="1750"/>
      <c r="H460" s="1750"/>
      <c r="I460" s="1750"/>
      <c r="J460" s="1750"/>
      <c r="N460" s="1976"/>
      <c r="O460" s="1750"/>
    </row>
    <row r="461" spans="1:15" x14ac:dyDescent="0.2">
      <c r="B461" s="1750"/>
      <c r="C461" s="1750"/>
      <c r="D461" s="1750"/>
      <c r="E461" s="1750"/>
      <c r="F461" s="1750"/>
      <c r="G461" s="1750"/>
      <c r="H461" s="1750"/>
      <c r="I461" s="1750"/>
      <c r="J461" s="1750"/>
      <c r="N461" s="1976"/>
      <c r="O461" s="1750"/>
    </row>
    <row r="462" spans="1:15" x14ac:dyDescent="0.2">
      <c r="B462" s="1750"/>
      <c r="C462" s="1750"/>
      <c r="D462" s="1750"/>
      <c r="E462" s="1750"/>
      <c r="F462" s="1750"/>
      <c r="G462" s="1750"/>
      <c r="H462" s="1750"/>
      <c r="I462" s="1750"/>
      <c r="J462" s="1750"/>
      <c r="N462" s="1976"/>
      <c r="O462" s="1750"/>
    </row>
    <row r="463" spans="1:15" x14ac:dyDescent="0.2">
      <c r="B463" s="1750"/>
      <c r="C463" s="1750"/>
      <c r="D463" s="1750"/>
      <c r="E463" s="1750"/>
      <c r="F463" s="1750"/>
      <c r="G463" s="1750"/>
      <c r="H463" s="1750"/>
      <c r="I463" s="1750"/>
      <c r="J463" s="1750"/>
      <c r="N463" s="1976"/>
      <c r="O463" s="1750"/>
    </row>
    <row r="464" spans="1:15" x14ac:dyDescent="0.2">
      <c r="B464" s="1750"/>
      <c r="C464" s="1750"/>
      <c r="D464" s="1750"/>
      <c r="E464" s="1750"/>
      <c r="F464" s="1750"/>
      <c r="G464" s="1750"/>
      <c r="H464" s="1750"/>
      <c r="I464" s="1750"/>
      <c r="J464" s="1750"/>
      <c r="N464" s="1976"/>
      <c r="O464" s="1750"/>
    </row>
    <row r="465" spans="2:15" x14ac:dyDescent="0.2">
      <c r="B465" s="1750"/>
      <c r="C465" s="1750"/>
      <c r="D465" s="1750"/>
      <c r="E465" s="1750"/>
      <c r="F465" s="1750"/>
      <c r="G465" s="1750"/>
      <c r="H465" s="1750"/>
      <c r="I465" s="1750"/>
      <c r="J465" s="1750"/>
      <c r="N465" s="1976"/>
      <c r="O465" s="1750"/>
    </row>
    <row r="466" spans="2:15" x14ac:dyDescent="0.2">
      <c r="B466" s="1750"/>
      <c r="C466" s="1750"/>
      <c r="D466" s="1750"/>
      <c r="E466" s="1750"/>
      <c r="F466" s="1750"/>
      <c r="G466" s="1750"/>
      <c r="H466" s="1750"/>
      <c r="I466" s="1750"/>
      <c r="J466" s="1750"/>
      <c r="N466" s="1976"/>
      <c r="O466" s="1750"/>
    </row>
    <row r="467" spans="2:15" x14ac:dyDescent="0.2">
      <c r="B467" s="1750"/>
      <c r="C467" s="1750"/>
      <c r="D467" s="1750"/>
      <c r="E467" s="1750"/>
      <c r="F467" s="1750"/>
      <c r="G467" s="1750"/>
      <c r="H467" s="1750"/>
      <c r="I467" s="1750"/>
      <c r="J467" s="1750"/>
      <c r="N467" s="1976"/>
      <c r="O467" s="1750"/>
    </row>
    <row r="468" spans="2:15" x14ac:dyDescent="0.2">
      <c r="B468" s="1750"/>
      <c r="C468" s="1750"/>
      <c r="D468" s="1750"/>
      <c r="E468" s="1750"/>
      <c r="F468" s="1750"/>
      <c r="G468" s="1750"/>
      <c r="H468" s="1750"/>
      <c r="I468" s="1750"/>
      <c r="J468" s="1750"/>
      <c r="N468" s="1976"/>
      <c r="O468" s="1750"/>
    </row>
    <row r="469" spans="2:15" x14ac:dyDescent="0.2">
      <c r="B469" s="1750"/>
      <c r="C469" s="1750"/>
      <c r="D469" s="1750"/>
      <c r="E469" s="1750"/>
      <c r="F469" s="1750"/>
      <c r="G469" s="1750"/>
      <c r="H469" s="1750"/>
      <c r="I469" s="1750"/>
      <c r="J469" s="1750"/>
      <c r="N469" s="1976"/>
      <c r="O469" s="1750"/>
    </row>
    <row r="470" spans="2:15" x14ac:dyDescent="0.2">
      <c r="B470" s="1750"/>
      <c r="C470" s="1750"/>
      <c r="D470" s="1750"/>
      <c r="E470" s="1750"/>
      <c r="F470" s="1750"/>
      <c r="G470" s="1750"/>
      <c r="H470" s="1750"/>
      <c r="I470" s="1750"/>
      <c r="J470" s="1750"/>
      <c r="N470" s="1976"/>
      <c r="O470" s="1750"/>
    </row>
    <row r="471" spans="2:15" x14ac:dyDescent="0.2">
      <c r="B471" s="1750"/>
      <c r="C471" s="1750"/>
      <c r="D471" s="1750"/>
      <c r="E471" s="1750"/>
      <c r="F471" s="1750"/>
      <c r="G471" s="1750"/>
      <c r="H471" s="1750"/>
      <c r="I471" s="1750"/>
      <c r="J471" s="1750"/>
      <c r="N471" s="1976"/>
      <c r="O471" s="1750"/>
    </row>
    <row r="472" spans="2:15" x14ac:dyDescent="0.2">
      <c r="B472" s="1750"/>
      <c r="C472" s="1750"/>
      <c r="D472" s="1750"/>
      <c r="E472" s="1750"/>
      <c r="F472" s="1750"/>
      <c r="G472" s="1750"/>
      <c r="H472" s="1750"/>
      <c r="I472" s="1750"/>
      <c r="J472" s="1750"/>
      <c r="N472" s="1976"/>
      <c r="O472" s="1750"/>
    </row>
    <row r="473" spans="2:15" x14ac:dyDescent="0.2">
      <c r="B473" s="1750"/>
      <c r="C473" s="1750"/>
      <c r="D473" s="1750"/>
      <c r="E473" s="1750"/>
      <c r="F473" s="1750"/>
      <c r="G473" s="1750"/>
      <c r="H473" s="1750"/>
      <c r="I473" s="1750"/>
      <c r="J473" s="1750"/>
      <c r="N473" s="1976"/>
      <c r="O473" s="1750"/>
    </row>
    <row r="474" spans="2:15" x14ac:dyDescent="0.2">
      <c r="B474" s="1750"/>
      <c r="C474" s="1750"/>
      <c r="D474" s="1750"/>
      <c r="E474" s="1750"/>
      <c r="F474" s="1750"/>
      <c r="G474" s="1750"/>
      <c r="H474" s="1750"/>
      <c r="I474" s="1750"/>
      <c r="J474" s="1750"/>
      <c r="N474" s="1976"/>
      <c r="O474" s="1750"/>
    </row>
    <row r="475" spans="2:15" x14ac:dyDescent="0.2">
      <c r="B475" s="1750"/>
      <c r="C475" s="1750"/>
      <c r="D475" s="1750"/>
      <c r="E475" s="1750"/>
      <c r="F475" s="1750"/>
      <c r="G475" s="1750"/>
      <c r="H475" s="1750"/>
      <c r="I475" s="1750"/>
      <c r="J475" s="1750"/>
      <c r="N475" s="1976"/>
      <c r="O475" s="1750"/>
    </row>
    <row r="476" spans="2:15" x14ac:dyDescent="0.2">
      <c r="B476" s="1750"/>
      <c r="C476" s="1750"/>
      <c r="D476" s="1750"/>
      <c r="E476" s="1750"/>
      <c r="F476" s="1750"/>
      <c r="G476" s="1750"/>
      <c r="H476" s="1750"/>
      <c r="I476" s="1750"/>
      <c r="J476" s="1750"/>
      <c r="N476" s="1976"/>
      <c r="O476" s="1750"/>
    </row>
    <row r="477" spans="2:15" x14ac:dyDescent="0.2">
      <c r="B477" s="1750"/>
      <c r="C477" s="1750"/>
      <c r="D477" s="1750"/>
      <c r="E477" s="1750"/>
      <c r="F477" s="1750"/>
      <c r="G477" s="1750"/>
      <c r="H477" s="1750"/>
      <c r="I477" s="1750"/>
      <c r="J477" s="1750"/>
      <c r="N477" s="1976"/>
      <c r="O477" s="1750"/>
    </row>
    <row r="478" spans="2:15" x14ac:dyDescent="0.2">
      <c r="B478" s="1750"/>
      <c r="C478" s="1750"/>
      <c r="D478" s="1750"/>
      <c r="E478" s="1750"/>
      <c r="F478" s="1750"/>
      <c r="G478" s="1750"/>
      <c r="H478" s="1750"/>
      <c r="I478" s="1750"/>
      <c r="J478" s="1750"/>
      <c r="N478" s="1976"/>
      <c r="O478" s="1750"/>
    </row>
    <row r="479" spans="2:15" x14ac:dyDescent="0.2">
      <c r="B479" s="1750"/>
      <c r="C479" s="1750"/>
      <c r="D479" s="1750"/>
      <c r="E479" s="1750"/>
      <c r="F479" s="1750"/>
      <c r="G479" s="1750"/>
      <c r="H479" s="1750"/>
      <c r="I479" s="1750"/>
      <c r="J479" s="1750"/>
      <c r="N479" s="1976"/>
      <c r="O479" s="1750"/>
    </row>
    <row r="480" spans="2:15" x14ac:dyDescent="0.2">
      <c r="B480" s="1750"/>
      <c r="C480" s="1750"/>
      <c r="D480" s="1750"/>
      <c r="E480" s="1750"/>
      <c r="F480" s="1750"/>
      <c r="G480" s="1750"/>
      <c r="H480" s="1750"/>
      <c r="I480" s="1750"/>
      <c r="J480" s="1750"/>
      <c r="N480" s="1976"/>
      <c r="O480" s="1750"/>
    </row>
    <row r="481" spans="2:15" x14ac:dyDescent="0.2">
      <c r="B481" s="1750"/>
      <c r="C481" s="1750"/>
      <c r="D481" s="1750"/>
      <c r="E481" s="1750"/>
      <c r="F481" s="1750"/>
      <c r="G481" s="1750"/>
      <c r="H481" s="1750"/>
      <c r="I481" s="1750"/>
      <c r="J481" s="1750"/>
      <c r="N481" s="1976"/>
      <c r="O481" s="1750"/>
    </row>
    <row r="482" spans="2:15" x14ac:dyDescent="0.2">
      <c r="B482" s="1750"/>
      <c r="C482" s="1750"/>
      <c r="D482" s="1750"/>
      <c r="E482" s="1750"/>
      <c r="F482" s="1750"/>
      <c r="G482" s="1750"/>
      <c r="H482" s="1750"/>
      <c r="I482" s="1750"/>
      <c r="J482" s="1750"/>
      <c r="N482" s="1976"/>
      <c r="O482" s="1750"/>
    </row>
    <row r="483" spans="2:15" x14ac:dyDescent="0.2">
      <c r="B483" s="1750"/>
      <c r="C483" s="1750"/>
      <c r="D483" s="1750"/>
      <c r="E483" s="1750"/>
      <c r="F483" s="1750"/>
      <c r="G483" s="1750"/>
      <c r="H483" s="1750"/>
      <c r="I483" s="1750"/>
      <c r="J483" s="1750"/>
      <c r="N483" s="1976"/>
      <c r="O483" s="1750"/>
    </row>
    <row r="484" spans="2:15" x14ac:dyDescent="0.2">
      <c r="B484" s="1750"/>
      <c r="C484" s="1750"/>
      <c r="D484" s="1750"/>
      <c r="E484" s="1750"/>
      <c r="F484" s="1750"/>
      <c r="G484" s="1750"/>
      <c r="H484" s="1750"/>
      <c r="I484" s="1750"/>
      <c r="J484" s="1750"/>
      <c r="N484" s="1976"/>
      <c r="O484" s="1750"/>
    </row>
    <row r="485" spans="2:15" x14ac:dyDescent="0.2">
      <c r="B485" s="1750"/>
      <c r="C485" s="1750"/>
      <c r="D485" s="1750"/>
      <c r="E485" s="1750"/>
      <c r="F485" s="1750"/>
      <c r="G485" s="1750"/>
      <c r="H485" s="1750"/>
      <c r="I485" s="1750"/>
      <c r="J485" s="1750"/>
      <c r="N485" s="1976"/>
      <c r="O485" s="1750"/>
    </row>
    <row r="486" spans="2:15" x14ac:dyDescent="0.2">
      <c r="B486" s="1750"/>
      <c r="C486" s="1750"/>
      <c r="D486" s="1750"/>
      <c r="E486" s="1750"/>
      <c r="F486" s="1750"/>
      <c r="G486" s="1750"/>
      <c r="H486" s="1750"/>
      <c r="I486" s="1750"/>
      <c r="J486" s="1750"/>
      <c r="N486" s="1976"/>
      <c r="O486" s="1750"/>
    </row>
    <row r="487" spans="2:15" x14ac:dyDescent="0.2">
      <c r="B487" s="1750"/>
      <c r="C487" s="1750"/>
      <c r="D487" s="1750"/>
      <c r="E487" s="1750"/>
      <c r="F487" s="1750"/>
      <c r="G487" s="1750"/>
      <c r="H487" s="1750"/>
      <c r="I487" s="1750"/>
      <c r="J487" s="1750"/>
      <c r="N487" s="1976"/>
      <c r="O487" s="1750"/>
    </row>
    <row r="488" spans="2:15" x14ac:dyDescent="0.2">
      <c r="B488" s="1750"/>
      <c r="C488" s="1750"/>
      <c r="D488" s="1750"/>
      <c r="E488" s="1750"/>
      <c r="F488" s="1750"/>
      <c r="G488" s="1750"/>
      <c r="H488" s="1750"/>
      <c r="I488" s="1750"/>
      <c r="J488" s="1750"/>
      <c r="N488" s="1976"/>
      <c r="O488" s="1750"/>
    </row>
    <row r="489" spans="2:15" x14ac:dyDescent="0.2">
      <c r="B489" s="1750"/>
      <c r="C489" s="1750"/>
      <c r="D489" s="1750"/>
      <c r="E489" s="1750"/>
      <c r="F489" s="1750"/>
      <c r="G489" s="1750"/>
      <c r="H489" s="1750"/>
      <c r="I489" s="1750"/>
      <c r="J489" s="1750"/>
      <c r="N489" s="1976"/>
      <c r="O489" s="1750"/>
    </row>
    <row r="490" spans="2:15" x14ac:dyDescent="0.2">
      <c r="B490" s="1750"/>
      <c r="C490" s="1750"/>
      <c r="D490" s="1750"/>
      <c r="E490" s="1750"/>
      <c r="F490" s="1750"/>
      <c r="G490" s="1750"/>
      <c r="H490" s="1750"/>
      <c r="I490" s="1750"/>
      <c r="J490" s="1750"/>
      <c r="N490" s="1976"/>
      <c r="O490" s="1750"/>
    </row>
    <row r="491" spans="2:15" x14ac:dyDescent="0.2">
      <c r="B491" s="1750"/>
      <c r="C491" s="1750"/>
      <c r="D491" s="1750"/>
      <c r="E491" s="1750"/>
      <c r="F491" s="1750"/>
      <c r="G491" s="1750"/>
      <c r="H491" s="1750"/>
      <c r="I491" s="1750"/>
      <c r="J491" s="1750"/>
      <c r="N491" s="1976"/>
      <c r="O491" s="1750"/>
    </row>
    <row r="492" spans="2:15" x14ac:dyDescent="0.2">
      <c r="B492" s="1750"/>
      <c r="C492" s="1750"/>
      <c r="D492" s="1750"/>
      <c r="E492" s="1750"/>
      <c r="F492" s="1750"/>
      <c r="G492" s="1750"/>
      <c r="H492" s="1750"/>
      <c r="I492" s="1750"/>
      <c r="J492" s="1750"/>
      <c r="N492" s="1976"/>
      <c r="O492" s="1750"/>
    </row>
    <row r="493" spans="2:15" x14ac:dyDescent="0.2">
      <c r="B493" s="1750"/>
      <c r="C493" s="1750"/>
      <c r="D493" s="1750"/>
      <c r="E493" s="1750"/>
      <c r="F493" s="1750">
        <v>415162</v>
      </c>
      <c r="G493" s="1750"/>
      <c r="H493" s="1750"/>
      <c r="I493" s="1750"/>
      <c r="J493" s="1750"/>
      <c r="N493" s="1976"/>
      <c r="O493" s="1750"/>
    </row>
    <row r="494" spans="2:15" x14ac:dyDescent="0.2">
      <c r="B494" s="1750"/>
      <c r="C494" s="1750"/>
      <c r="D494" s="1750"/>
      <c r="E494" s="1750"/>
      <c r="F494" s="1750"/>
      <c r="G494" s="1750"/>
      <c r="H494" s="1750"/>
      <c r="I494" s="1750"/>
      <c r="J494" s="1750"/>
      <c r="N494" s="1976"/>
      <c r="O494" s="1750"/>
    </row>
    <row r="495" spans="2:15" x14ac:dyDescent="0.2">
      <c r="B495" s="1750"/>
      <c r="C495" s="1750"/>
      <c r="D495" s="1750"/>
      <c r="E495" s="1750"/>
      <c r="F495" s="1750"/>
      <c r="G495" s="1750"/>
      <c r="H495" s="1750"/>
      <c r="I495" s="1750"/>
      <c r="J495" s="1750"/>
      <c r="N495" s="1976"/>
      <c r="O495" s="1750"/>
    </row>
    <row r="496" spans="2:15" x14ac:dyDescent="0.2">
      <c r="B496" s="1750"/>
      <c r="C496" s="1750"/>
      <c r="D496" s="1750"/>
      <c r="E496" s="1750"/>
      <c r="F496" s="1750"/>
      <c r="G496" s="1750"/>
      <c r="H496" s="1750"/>
      <c r="I496" s="1750"/>
      <c r="J496" s="1750"/>
      <c r="N496" s="1976"/>
      <c r="O496" s="1750"/>
    </row>
    <row r="497" spans="2:15" x14ac:dyDescent="0.2">
      <c r="B497" s="1750"/>
      <c r="C497" s="1750"/>
      <c r="D497" s="1750"/>
      <c r="E497" s="1750"/>
      <c r="F497" s="1750"/>
      <c r="G497" s="1750"/>
      <c r="H497" s="1750"/>
      <c r="I497" s="1750"/>
      <c r="J497" s="1750"/>
      <c r="N497" s="1976"/>
      <c r="O497" s="1750"/>
    </row>
    <row r="498" spans="2:15" x14ac:dyDescent="0.2">
      <c r="B498" s="1750"/>
      <c r="C498" s="1750"/>
      <c r="D498" s="1750"/>
      <c r="E498" s="1750"/>
      <c r="F498" s="1750"/>
      <c r="G498" s="1750"/>
      <c r="H498" s="1750"/>
      <c r="I498" s="1750"/>
      <c r="J498" s="1750"/>
      <c r="N498" s="1976"/>
      <c r="O498" s="1750"/>
    </row>
    <row r="499" spans="2:15" x14ac:dyDescent="0.2">
      <c r="B499" s="1750"/>
      <c r="C499" s="1750"/>
      <c r="D499" s="1750"/>
      <c r="E499" s="1750"/>
      <c r="F499" s="1750"/>
      <c r="G499" s="1750"/>
      <c r="H499" s="1750"/>
      <c r="I499" s="1750"/>
      <c r="J499" s="1750"/>
      <c r="N499" s="1976"/>
      <c r="O499" s="1750"/>
    </row>
    <row r="500" spans="2:15" x14ac:dyDescent="0.2">
      <c r="B500" s="1750"/>
      <c r="C500" s="1750"/>
      <c r="D500" s="1750"/>
      <c r="E500" s="1750"/>
      <c r="F500" s="1750"/>
      <c r="G500" s="1750"/>
      <c r="H500" s="1750"/>
      <c r="I500" s="1750"/>
      <c r="J500" s="1750"/>
      <c r="N500" s="1976"/>
      <c r="O500" s="1750"/>
    </row>
    <row r="501" spans="2:15" x14ac:dyDescent="0.2">
      <c r="B501" s="1750"/>
      <c r="C501" s="1750"/>
      <c r="D501" s="1750"/>
      <c r="E501" s="1750"/>
      <c r="F501" s="1750"/>
      <c r="G501" s="1750"/>
      <c r="H501" s="1750"/>
      <c r="I501" s="1750"/>
      <c r="J501" s="1750"/>
      <c r="N501" s="1976"/>
      <c r="O501" s="1750"/>
    </row>
    <row r="502" spans="2:15" x14ac:dyDescent="0.2">
      <c r="B502" s="1750"/>
      <c r="C502" s="1750"/>
      <c r="D502" s="1750"/>
      <c r="E502" s="1750"/>
      <c r="F502" s="1750"/>
      <c r="G502" s="1750"/>
      <c r="H502" s="1750"/>
      <c r="I502" s="1750"/>
      <c r="J502" s="1750"/>
      <c r="N502" s="1976"/>
      <c r="O502" s="1750"/>
    </row>
    <row r="503" spans="2:15" x14ac:dyDescent="0.2">
      <c r="B503" s="1750"/>
      <c r="C503" s="1750"/>
      <c r="D503" s="1750"/>
      <c r="E503" s="1750"/>
      <c r="F503" s="1750"/>
      <c r="G503" s="1750"/>
      <c r="H503" s="1750"/>
      <c r="I503" s="1750"/>
      <c r="J503" s="1750"/>
      <c r="N503" s="1976"/>
      <c r="O503" s="1750"/>
    </row>
    <row r="504" spans="2:15" x14ac:dyDescent="0.2">
      <c r="B504" s="1750"/>
      <c r="C504" s="1750"/>
      <c r="D504" s="1750"/>
      <c r="E504" s="1750"/>
      <c r="F504" s="1750"/>
      <c r="G504" s="1750"/>
      <c r="H504" s="1750"/>
      <c r="I504" s="1750"/>
      <c r="J504" s="1750"/>
      <c r="N504" s="1976"/>
      <c r="O504" s="1750"/>
    </row>
    <row r="505" spans="2:15" x14ac:dyDescent="0.2">
      <c r="B505" s="1750"/>
      <c r="C505" s="1750"/>
      <c r="D505" s="1750"/>
      <c r="E505" s="1750"/>
      <c r="F505" s="1750"/>
      <c r="G505" s="1750"/>
      <c r="H505" s="1750"/>
      <c r="I505" s="1750"/>
      <c r="J505" s="1750"/>
      <c r="N505" s="1976"/>
      <c r="O505" s="1750"/>
    </row>
    <row r="506" spans="2:15" x14ac:dyDescent="0.2">
      <c r="B506" s="1750"/>
      <c r="C506" s="1750"/>
      <c r="D506" s="1750"/>
      <c r="E506" s="1750"/>
      <c r="F506" s="1750"/>
      <c r="G506" s="1750"/>
      <c r="H506" s="1750"/>
      <c r="I506" s="1750"/>
      <c r="J506" s="1750"/>
      <c r="N506" s="1976"/>
      <c r="O506" s="1750"/>
    </row>
    <row r="507" spans="2:15" x14ac:dyDescent="0.2">
      <c r="B507" s="1750"/>
      <c r="C507" s="1750"/>
      <c r="D507" s="1750"/>
      <c r="E507" s="1750"/>
      <c r="F507" s="1750"/>
      <c r="G507" s="1750"/>
      <c r="H507" s="1750"/>
      <c r="I507" s="1750"/>
      <c r="J507" s="1750"/>
      <c r="N507" s="1976"/>
      <c r="O507" s="1750"/>
    </row>
    <row r="508" spans="2:15" x14ac:dyDescent="0.2">
      <c r="B508" s="1750"/>
      <c r="C508" s="1750"/>
      <c r="D508" s="1750"/>
      <c r="E508" s="1750"/>
      <c r="F508" s="1750"/>
      <c r="G508" s="1750"/>
      <c r="H508" s="1750"/>
      <c r="I508" s="1750"/>
      <c r="J508" s="1750"/>
      <c r="N508" s="1976"/>
      <c r="O508" s="1750"/>
    </row>
    <row r="509" spans="2:15" x14ac:dyDescent="0.2">
      <c r="B509" s="1750"/>
      <c r="C509" s="1750"/>
      <c r="D509" s="1750"/>
      <c r="E509" s="1750"/>
      <c r="F509" s="1750"/>
      <c r="G509" s="1750"/>
      <c r="H509" s="1750"/>
      <c r="I509" s="1750"/>
      <c r="J509" s="1750"/>
      <c r="N509" s="1976"/>
      <c r="O509" s="1750"/>
    </row>
    <row r="510" spans="2:15" x14ac:dyDescent="0.2">
      <c r="B510" s="1750"/>
      <c r="C510" s="1750"/>
      <c r="D510" s="1750"/>
      <c r="E510" s="1750"/>
      <c r="F510" s="1750"/>
      <c r="G510" s="1750"/>
      <c r="H510" s="1750"/>
      <c r="I510" s="1750"/>
      <c r="J510" s="1750"/>
      <c r="N510" s="1976"/>
      <c r="O510" s="1750"/>
    </row>
    <row r="511" spans="2:15" x14ac:dyDescent="0.2">
      <c r="B511" s="1750"/>
      <c r="C511" s="1750"/>
      <c r="D511" s="1750"/>
      <c r="E511" s="1750"/>
      <c r="F511" s="1750"/>
      <c r="G511" s="1750"/>
      <c r="H511" s="1750"/>
      <c r="I511" s="1750"/>
      <c r="J511" s="1750"/>
      <c r="N511" s="1976"/>
      <c r="O511" s="1750"/>
    </row>
    <row r="512" spans="2:15" x14ac:dyDescent="0.2">
      <c r="B512" s="1750"/>
      <c r="C512" s="1750"/>
      <c r="D512" s="1750"/>
      <c r="E512" s="1750"/>
      <c r="F512" s="1750"/>
      <c r="G512" s="1750"/>
      <c r="H512" s="1750"/>
      <c r="I512" s="1750"/>
      <c r="J512" s="1750"/>
      <c r="N512" s="1976"/>
      <c r="O512" s="1750"/>
    </row>
    <row r="513" spans="1:15" x14ac:dyDescent="0.2">
      <c r="B513" s="1750"/>
      <c r="C513" s="1750"/>
      <c r="D513" s="1750"/>
      <c r="E513" s="1750"/>
      <c r="F513" s="1750"/>
      <c r="G513" s="1750"/>
      <c r="H513" s="1750"/>
      <c r="I513" s="1750"/>
      <c r="J513" s="1750"/>
      <c r="N513" s="1976"/>
      <c r="O513" s="1750"/>
    </row>
    <row r="514" spans="1:15" x14ac:dyDescent="0.2">
      <c r="B514" s="1750"/>
      <c r="C514" s="1750"/>
      <c r="D514" s="1750"/>
      <c r="E514" s="1750"/>
      <c r="F514" s="1750"/>
      <c r="G514" s="1750"/>
      <c r="H514" s="1750"/>
      <c r="I514" s="1750"/>
      <c r="J514" s="1750"/>
      <c r="N514" s="1976"/>
      <c r="O514" s="1750"/>
    </row>
    <row r="515" spans="1:15" x14ac:dyDescent="0.2">
      <c r="B515" s="1750"/>
      <c r="C515" s="1750"/>
      <c r="D515" s="1750"/>
      <c r="E515" s="1750"/>
      <c r="F515" s="1750"/>
      <c r="G515" s="1750"/>
      <c r="H515" s="1750"/>
      <c r="I515" s="1750"/>
      <c r="J515" s="1750"/>
      <c r="N515" s="1976"/>
      <c r="O515" s="1750"/>
    </row>
    <row r="516" spans="1:15" x14ac:dyDescent="0.2">
      <c r="B516" s="1750"/>
      <c r="C516" s="1750"/>
      <c r="D516" s="1750"/>
      <c r="E516" s="1750"/>
      <c r="F516" s="1750"/>
      <c r="G516" s="1750"/>
      <c r="H516" s="1750"/>
      <c r="I516" s="1750"/>
      <c r="J516" s="1750"/>
      <c r="N516" s="1976"/>
      <c r="O516" s="1750"/>
    </row>
    <row r="517" spans="1:15" x14ac:dyDescent="0.2">
      <c r="B517" s="1750"/>
      <c r="C517" s="1750"/>
      <c r="D517" s="1750"/>
      <c r="E517" s="1750"/>
      <c r="F517" s="1750"/>
      <c r="G517" s="1750"/>
      <c r="H517" s="1750"/>
      <c r="I517" s="1750"/>
      <c r="J517" s="1750"/>
      <c r="N517" s="1976"/>
      <c r="O517" s="1750"/>
    </row>
    <row r="518" spans="1:15" x14ac:dyDescent="0.2">
      <c r="B518" s="1750"/>
      <c r="C518" s="1750"/>
      <c r="D518" s="1750"/>
      <c r="E518" s="1750"/>
      <c r="F518" s="1750"/>
      <c r="G518" s="1750"/>
      <c r="H518" s="1750"/>
      <c r="I518" s="1750"/>
      <c r="J518" s="1750"/>
      <c r="N518" s="1976"/>
      <c r="O518" s="1750"/>
    </row>
    <row r="519" spans="1:15" x14ac:dyDescent="0.2">
      <c r="B519" s="1750"/>
      <c r="C519" s="1750"/>
      <c r="D519" s="1750"/>
      <c r="E519" s="1750"/>
      <c r="F519" s="1750"/>
      <c r="G519" s="1750"/>
      <c r="H519" s="1750"/>
      <c r="I519" s="1750"/>
      <c r="J519" s="1750"/>
      <c r="N519" s="1976"/>
      <c r="O519" s="1750"/>
    </row>
    <row r="520" spans="1:15" x14ac:dyDescent="0.2">
      <c r="B520" s="1750"/>
      <c r="C520" s="1750"/>
      <c r="D520" s="1750"/>
      <c r="E520" s="1750"/>
      <c r="F520" s="1750"/>
      <c r="G520" s="1750"/>
      <c r="H520" s="1750"/>
      <c r="I520" s="1750"/>
      <c r="J520" s="1750"/>
      <c r="N520" s="1976"/>
      <c r="O520" s="1750"/>
    </row>
    <row r="521" spans="1:15" x14ac:dyDescent="0.2">
      <c r="B521" s="1750"/>
      <c r="C521" s="1750"/>
      <c r="D521" s="1750"/>
      <c r="E521" s="1750"/>
      <c r="F521" s="1750"/>
      <c r="G521" s="1750"/>
      <c r="H521" s="1750"/>
      <c r="I521" s="1750"/>
      <c r="J521" s="1750"/>
      <c r="N521" s="1976"/>
      <c r="O521" s="1750"/>
    </row>
    <row r="522" spans="1:15" x14ac:dyDescent="0.2">
      <c r="B522" s="1750"/>
      <c r="C522" s="1750"/>
      <c r="D522" s="1750"/>
      <c r="E522" s="1750"/>
      <c r="F522" s="1750"/>
      <c r="G522" s="1750"/>
      <c r="H522" s="1750"/>
      <c r="I522" s="1750"/>
      <c r="J522" s="1750"/>
      <c r="N522" s="1976"/>
      <c r="O522" s="1750"/>
    </row>
    <row r="523" spans="1:15" x14ac:dyDescent="0.2">
      <c r="B523" s="1750"/>
      <c r="C523" s="1750"/>
      <c r="D523" s="1750"/>
      <c r="E523" s="1750"/>
      <c r="F523" s="1750"/>
      <c r="G523" s="1750"/>
      <c r="H523" s="1750"/>
      <c r="I523" s="1750"/>
      <c r="J523" s="1750"/>
      <c r="N523" s="1976"/>
      <c r="O523" s="1750"/>
    </row>
    <row r="524" spans="1:15" x14ac:dyDescent="0.2">
      <c r="B524" s="1750"/>
      <c r="C524" s="1750"/>
      <c r="D524" s="1750"/>
      <c r="E524" s="1750"/>
      <c r="F524" s="1750"/>
      <c r="G524" s="1750"/>
      <c r="H524" s="1750"/>
      <c r="I524" s="1750"/>
      <c r="J524" s="1750"/>
      <c r="N524" s="1976"/>
      <c r="O524" s="1750"/>
    </row>
    <row r="525" spans="1:15" ht="12" thickBot="1" x14ac:dyDescent="0.25">
      <c r="B525" s="1750"/>
      <c r="C525" s="1750"/>
      <c r="D525" s="1750"/>
      <c r="E525" s="1750"/>
      <c r="F525" s="1750"/>
      <c r="G525" s="1750"/>
      <c r="H525" s="1750"/>
      <c r="I525" s="1750"/>
      <c r="J525" s="1750"/>
      <c r="N525" s="1976"/>
      <c r="O525" s="1750"/>
    </row>
    <row r="526" spans="1:15" x14ac:dyDescent="0.2">
      <c r="A526" s="1969"/>
      <c r="B526" s="1750"/>
      <c r="C526" s="1750"/>
      <c r="D526" s="1750"/>
      <c r="E526" s="1750"/>
      <c r="F526" s="1750"/>
      <c r="G526" s="1750"/>
      <c r="H526" s="1750"/>
      <c r="I526" s="1750"/>
      <c r="J526" s="1750"/>
      <c r="N526" s="1976"/>
      <c r="O526" s="1750"/>
    </row>
    <row r="527" spans="1:15" x14ac:dyDescent="0.2">
      <c r="A527" s="1963"/>
      <c r="B527" s="1750"/>
      <c r="C527" s="1750"/>
      <c r="D527" s="1750"/>
      <c r="E527" s="1750"/>
      <c r="F527" s="1750"/>
      <c r="G527" s="1750"/>
      <c r="H527" s="1750"/>
      <c r="I527" s="1750"/>
      <c r="J527" s="1750"/>
      <c r="N527" s="1976"/>
      <c r="O527" s="1750"/>
    </row>
    <row r="528" spans="1:15" x14ac:dyDescent="0.2">
      <c r="A528" s="1963"/>
      <c r="B528" s="1750"/>
      <c r="C528" s="1750"/>
      <c r="D528" s="1750"/>
      <c r="E528" s="1750"/>
      <c r="F528" s="1750"/>
      <c r="G528" s="1750"/>
      <c r="H528" s="1750"/>
      <c r="I528" s="1750"/>
      <c r="J528" s="1750"/>
      <c r="N528" s="1976"/>
      <c r="O528" s="1750"/>
    </row>
    <row r="529" spans="1:15" x14ac:dyDescent="0.2">
      <c r="A529" s="1963"/>
      <c r="B529" s="1750"/>
      <c r="C529" s="1750"/>
      <c r="D529" s="1750"/>
      <c r="E529" s="1750"/>
      <c r="F529" s="1750"/>
      <c r="G529" s="1750"/>
      <c r="H529" s="1750"/>
      <c r="I529" s="1750"/>
      <c r="J529" s="1750"/>
      <c r="N529" s="1976"/>
      <c r="O529" s="1750"/>
    </row>
    <row r="530" spans="1:15" x14ac:dyDescent="0.2">
      <c r="A530" s="1963"/>
      <c r="B530" s="1750"/>
      <c r="C530" s="1750"/>
      <c r="D530" s="1750"/>
      <c r="E530" s="1750"/>
      <c r="F530" s="1750"/>
      <c r="G530" s="1750"/>
      <c r="H530" s="1750"/>
      <c r="I530" s="1750"/>
      <c r="J530" s="1750"/>
      <c r="N530" s="1976"/>
      <c r="O530" s="1750"/>
    </row>
    <row r="531" spans="1:15" x14ac:dyDescent="0.2">
      <c r="A531" s="1963"/>
      <c r="B531" s="1750"/>
      <c r="C531" s="1750"/>
      <c r="D531" s="1750"/>
      <c r="E531" s="1750"/>
      <c r="F531" s="1750"/>
      <c r="G531" s="1750"/>
      <c r="H531" s="1750"/>
      <c r="I531" s="1750"/>
      <c r="J531" s="1750"/>
      <c r="N531" s="1976"/>
      <c r="O531" s="1750"/>
    </row>
    <row r="532" spans="1:15" x14ac:dyDescent="0.2">
      <c r="A532" s="1963"/>
      <c r="B532" s="1750"/>
      <c r="C532" s="1750"/>
      <c r="D532" s="1750"/>
      <c r="E532" s="1750"/>
      <c r="F532" s="1750"/>
      <c r="G532" s="1750"/>
      <c r="H532" s="1750"/>
      <c r="I532" s="1750"/>
      <c r="J532" s="1750"/>
      <c r="N532" s="1976"/>
      <c r="O532" s="1750"/>
    </row>
    <row r="533" spans="1:15" ht="12" thickBot="1" x14ac:dyDescent="0.25">
      <c r="A533" s="1965"/>
      <c r="B533" s="1750"/>
      <c r="C533" s="1750"/>
      <c r="D533" s="1750"/>
      <c r="E533" s="1750"/>
      <c r="F533" s="1750"/>
      <c r="G533" s="1750"/>
      <c r="H533" s="1750"/>
      <c r="I533" s="1750"/>
      <c r="J533" s="1750"/>
      <c r="N533" s="1976"/>
      <c r="O533" s="1750"/>
    </row>
    <row r="534" spans="1:15" x14ac:dyDescent="0.2">
      <c r="A534" s="1969"/>
      <c r="B534" s="1750"/>
      <c r="C534" s="1750"/>
      <c r="D534" s="1750"/>
      <c r="E534" s="1750"/>
      <c r="F534" s="1750"/>
      <c r="G534" s="1750"/>
      <c r="H534" s="1750"/>
      <c r="I534" s="1750"/>
      <c r="J534" s="1750"/>
      <c r="N534" s="1976"/>
      <c r="O534" s="1750"/>
    </row>
    <row r="535" spans="1:15" x14ac:dyDescent="0.2">
      <c r="A535" s="1963"/>
      <c r="B535" s="1750"/>
      <c r="C535" s="1750"/>
      <c r="D535" s="1750"/>
      <c r="E535" s="1750"/>
      <c r="F535" s="1750"/>
      <c r="G535" s="1750"/>
      <c r="H535" s="1750"/>
      <c r="I535" s="1750"/>
      <c r="J535" s="1750"/>
      <c r="N535" s="1976"/>
      <c r="O535" s="1750"/>
    </row>
    <row r="536" spans="1:15" x14ac:dyDescent="0.2">
      <c r="A536" s="1963"/>
      <c r="B536" s="1750"/>
      <c r="C536" s="1750"/>
      <c r="D536" s="1750"/>
      <c r="E536" s="1750"/>
      <c r="F536" s="1750"/>
      <c r="G536" s="1750"/>
      <c r="H536" s="1750"/>
      <c r="I536" s="1750"/>
      <c r="J536" s="1750"/>
      <c r="N536" s="1976"/>
      <c r="O536" s="1750"/>
    </row>
    <row r="537" spans="1:15" ht="12" thickBot="1" x14ac:dyDescent="0.25">
      <c r="A537" s="1965"/>
      <c r="B537" s="1966"/>
      <c r="C537" s="1966"/>
      <c r="D537" s="1966"/>
      <c r="E537" s="1966"/>
      <c r="F537" s="1966"/>
      <c r="G537" s="1966"/>
      <c r="H537" s="1966"/>
      <c r="I537" s="1966"/>
      <c r="J537" s="1979"/>
      <c r="K537" s="1966"/>
      <c r="L537" s="1966"/>
      <c r="M537" s="1966"/>
      <c r="N537" s="1968"/>
    </row>
  </sheetData>
  <mergeCells count="37">
    <mergeCell ref="N40:N48"/>
    <mergeCell ref="G8:G9"/>
    <mergeCell ref="N22:N30"/>
    <mergeCell ref="C24:C27"/>
    <mergeCell ref="C29:C30"/>
    <mergeCell ref="C15:C18"/>
    <mergeCell ref="C20:C21"/>
    <mergeCell ref="N14:N21"/>
    <mergeCell ref="M8:M9"/>
    <mergeCell ref="I7:I9"/>
    <mergeCell ref="N6:N9"/>
    <mergeCell ref="F7:F9"/>
    <mergeCell ref="D7:D9"/>
    <mergeCell ref="E7:E9"/>
    <mergeCell ref="N31:N39"/>
    <mergeCell ref="B6:B9"/>
    <mergeCell ref="C6:C9"/>
    <mergeCell ref="D6:H6"/>
    <mergeCell ref="J7:J9"/>
    <mergeCell ref="H8:H9"/>
    <mergeCell ref="G7:H7"/>
    <mergeCell ref="A40:A48"/>
    <mergeCell ref="C42:C45"/>
    <mergeCell ref="C47:C48"/>
    <mergeCell ref="K1:L1"/>
    <mergeCell ref="K8:K9"/>
    <mergeCell ref="L8:L9"/>
    <mergeCell ref="A22:A30"/>
    <mergeCell ref="A14:A21"/>
    <mergeCell ref="A10:B10"/>
    <mergeCell ref="I6:L6"/>
    <mergeCell ref="K7:L7"/>
    <mergeCell ref="A31:A39"/>
    <mergeCell ref="C33:C36"/>
    <mergeCell ref="C38:C39"/>
    <mergeCell ref="A5:N5"/>
    <mergeCell ref="A6:A9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66" orientation="portrait" useFirstPageNumber="1" r:id="rId1"/>
  <headerFooter alignWithMargins="0">
    <oddHeader>&amp;C&amp;"Arial,Kursywa"Informacja o wykonaniu budżetu Województwa Zachodniopomorskiego za I kwartał 2014 roku
______________________________________________________________________________________________________________________</oddHeader>
    <oddFooter>&amp;C&amp;8&amp;P</oddFooter>
  </headerFooter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M21" sqref="M21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Z535"/>
  <sheetViews>
    <sheetView showGridLines="0" view="pageBreakPreview" zoomScaleNormal="100" zoomScaleSheetLayoutView="100" workbookViewId="0"/>
  </sheetViews>
  <sheetFormatPr defaultRowHeight="12.75" x14ac:dyDescent="0.2"/>
  <cols>
    <col min="1" max="1" width="3.42578125" style="24" customWidth="1"/>
    <col min="2" max="2" width="51.7109375" style="24" customWidth="1"/>
    <col min="3" max="3" width="11.42578125" style="209" customWidth="1"/>
    <col min="4" max="4" width="11.85546875" style="24" customWidth="1"/>
    <col min="5" max="5" width="12.140625" style="24" hidden="1" customWidth="1"/>
    <col min="6" max="6" width="13.140625" style="24" hidden="1" customWidth="1"/>
    <col min="7" max="7" width="12.5703125" style="24" customWidth="1"/>
    <col min="8" max="8" width="12.7109375" style="24" customWidth="1"/>
    <col min="9" max="9" width="12.42578125" style="24" customWidth="1"/>
    <col min="10" max="10" width="9.85546875" style="24" customWidth="1"/>
    <col min="11" max="11" width="12.28515625" style="24" customWidth="1"/>
    <col min="12" max="12" width="10.42578125" style="24" customWidth="1"/>
    <col min="13" max="13" width="13.5703125" style="24" hidden="1" customWidth="1"/>
    <col min="14" max="14" width="13.140625" style="430" customWidth="1"/>
    <col min="15" max="15" width="11.42578125" style="24" customWidth="1"/>
    <col min="16" max="16" width="14.28515625" style="24" customWidth="1"/>
    <col min="17" max="17" width="11.5703125" style="24" customWidth="1"/>
    <col min="18" max="18" width="16.5703125" style="24" customWidth="1"/>
    <col min="19" max="19" width="4.5703125" style="24" customWidth="1"/>
    <col min="20" max="20" width="16.85546875" style="24" customWidth="1"/>
    <col min="21" max="16384" width="9.140625" style="24"/>
  </cols>
  <sheetData>
    <row r="1" spans="1:66" ht="21" customHeight="1" x14ac:dyDescent="0.3">
      <c r="A1" s="208"/>
      <c r="K1" s="28" t="s">
        <v>376</v>
      </c>
      <c r="L1" s="28"/>
      <c r="M1" s="3066"/>
      <c r="N1" s="3066"/>
    </row>
    <row r="2" spans="1:66" ht="6" customHeight="1" x14ac:dyDescent="0.2">
      <c r="A2" s="208"/>
      <c r="H2" s="210"/>
      <c r="I2" s="210"/>
      <c r="J2" s="210"/>
      <c r="K2" s="210"/>
      <c r="L2" s="210"/>
      <c r="M2" s="210"/>
      <c r="N2" s="211"/>
    </row>
    <row r="3" spans="1:66" ht="15" customHeight="1" thickBot="1" x14ac:dyDescent="0.25">
      <c r="A3" s="208"/>
      <c r="B3" s="208"/>
      <c r="C3" s="212"/>
      <c r="D3" s="208"/>
      <c r="E3" s="208"/>
      <c r="F3" s="208"/>
      <c r="G3" s="208"/>
      <c r="H3" s="213"/>
      <c r="I3" s="213"/>
      <c r="J3" s="213"/>
      <c r="K3" s="213"/>
      <c r="L3" s="213"/>
      <c r="M3" s="213"/>
      <c r="N3" s="211"/>
    </row>
    <row r="4" spans="1:66" ht="53.25" customHeight="1" x14ac:dyDescent="0.45">
      <c r="A4" s="3246" t="s">
        <v>223</v>
      </c>
      <c r="B4" s="3247"/>
      <c r="C4" s="3247"/>
      <c r="D4" s="3247"/>
      <c r="E4" s="3247"/>
      <c r="F4" s="3247"/>
      <c r="G4" s="3247"/>
      <c r="H4" s="3247"/>
      <c r="I4" s="3247"/>
      <c r="J4" s="3247"/>
      <c r="K4" s="3247"/>
      <c r="L4" s="3247"/>
      <c r="M4" s="3247"/>
      <c r="N4" s="3248"/>
    </row>
    <row r="5" spans="1:66" ht="9.75" customHeight="1" thickBot="1" x14ac:dyDescent="0.5">
      <c r="A5" s="214"/>
      <c r="B5" s="215"/>
      <c r="C5" s="216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7"/>
    </row>
    <row r="6" spans="1:66" ht="48" customHeight="1" x14ac:dyDescent="0.2">
      <c r="A6" s="3249" t="s">
        <v>24</v>
      </c>
      <c r="B6" s="3252" t="s">
        <v>25</v>
      </c>
      <c r="C6" s="3253" t="s">
        <v>26</v>
      </c>
      <c r="D6" s="3026" t="s">
        <v>356</v>
      </c>
      <c r="E6" s="3027"/>
      <c r="F6" s="3027"/>
      <c r="G6" s="3027"/>
      <c r="H6" s="3028"/>
      <c r="I6" s="3026" t="s">
        <v>351</v>
      </c>
      <c r="J6" s="3027"/>
      <c r="K6" s="3027"/>
      <c r="L6" s="3262"/>
      <c r="M6" s="591"/>
      <c r="N6" s="3256" t="s">
        <v>27</v>
      </c>
    </row>
    <row r="7" spans="1:66" ht="27" customHeight="1" x14ac:dyDescent="0.2">
      <c r="A7" s="3250"/>
      <c r="B7" s="3073"/>
      <c r="C7" s="3254"/>
      <c r="D7" s="3031" t="s">
        <v>0</v>
      </c>
      <c r="E7" s="3072" t="s">
        <v>360</v>
      </c>
      <c r="F7" s="3072" t="s">
        <v>361</v>
      </c>
      <c r="G7" s="3029" t="s">
        <v>257</v>
      </c>
      <c r="H7" s="3030"/>
      <c r="I7" s="3235" t="s">
        <v>350</v>
      </c>
      <c r="J7" s="3259" t="s">
        <v>300</v>
      </c>
      <c r="K7" s="3069" t="s">
        <v>357</v>
      </c>
      <c r="L7" s="3225"/>
      <c r="M7" s="592"/>
      <c r="N7" s="3257"/>
    </row>
    <row r="8" spans="1:66" ht="48.75" customHeight="1" x14ac:dyDescent="0.2">
      <c r="A8" s="3250"/>
      <c r="B8" s="3073"/>
      <c r="C8" s="3254"/>
      <c r="D8" s="3032"/>
      <c r="E8" s="3073"/>
      <c r="F8" s="3073"/>
      <c r="G8" s="3059" t="s">
        <v>349</v>
      </c>
      <c r="H8" s="3061" t="s">
        <v>355</v>
      </c>
      <c r="I8" s="3236"/>
      <c r="J8" s="3260"/>
      <c r="K8" s="3078" t="s">
        <v>359</v>
      </c>
      <c r="L8" s="3239" t="s">
        <v>301</v>
      </c>
      <c r="M8" s="3241" t="s">
        <v>358</v>
      </c>
      <c r="N8" s="3257"/>
    </row>
    <row r="9" spans="1:66" ht="46.5" customHeight="1" thickBot="1" x14ac:dyDescent="0.25">
      <c r="A9" s="3251"/>
      <c r="B9" s="3244"/>
      <c r="C9" s="3255"/>
      <c r="D9" s="3243"/>
      <c r="E9" s="3244"/>
      <c r="F9" s="3244"/>
      <c r="G9" s="3274"/>
      <c r="H9" s="3275"/>
      <c r="I9" s="3237"/>
      <c r="J9" s="3261"/>
      <c r="K9" s="3238"/>
      <c r="L9" s="3240"/>
      <c r="M9" s="3242"/>
      <c r="N9" s="3258"/>
    </row>
    <row r="10" spans="1:66" s="598" customFormat="1" ht="13.5" customHeight="1" thickBot="1" x14ac:dyDescent="0.25">
      <c r="A10" s="3223">
        <v>1</v>
      </c>
      <c r="B10" s="3224"/>
      <c r="C10" s="593">
        <v>2</v>
      </c>
      <c r="D10" s="594">
        <v>3</v>
      </c>
      <c r="E10" s="595"/>
      <c r="F10" s="595"/>
      <c r="G10" s="595">
        <v>4</v>
      </c>
      <c r="H10" s="593">
        <v>5</v>
      </c>
      <c r="I10" s="594">
        <v>6</v>
      </c>
      <c r="J10" s="595">
        <v>7</v>
      </c>
      <c r="K10" s="595">
        <v>8</v>
      </c>
      <c r="L10" s="596">
        <v>9</v>
      </c>
      <c r="M10" s="596">
        <v>10</v>
      </c>
      <c r="N10" s="597">
        <v>10</v>
      </c>
    </row>
    <row r="11" spans="1:66" s="611" customFormat="1" ht="18" customHeight="1" thickBot="1" x14ac:dyDescent="0.25">
      <c r="A11" s="599"/>
      <c r="B11" s="600" t="s">
        <v>162</v>
      </c>
      <c r="C11" s="601"/>
      <c r="D11" s="602">
        <f t="shared" ref="D11:H11" si="0">D12+D13</f>
        <v>752576221</v>
      </c>
      <c r="E11" s="603">
        <f t="shared" si="0"/>
        <v>332854508</v>
      </c>
      <c r="F11" s="604">
        <f t="shared" si="0"/>
        <v>149249483</v>
      </c>
      <c r="G11" s="605">
        <f t="shared" si="0"/>
        <v>192188913</v>
      </c>
      <c r="H11" s="606">
        <f t="shared" si="0"/>
        <v>78283317</v>
      </c>
      <c r="I11" s="602">
        <f>I12+I13</f>
        <v>493968236</v>
      </c>
      <c r="J11" s="607">
        <f>I11/D11*100</f>
        <v>65.6369710092129</v>
      </c>
      <c r="K11" s="603">
        <f>K12+K13</f>
        <v>12721196</v>
      </c>
      <c r="L11" s="608">
        <f>K11/G11*100</f>
        <v>6.6191102293190029</v>
      </c>
      <c r="M11" s="605">
        <f t="shared" ref="M11:M17" si="1">+K11-G11</f>
        <v>-179467717</v>
      </c>
      <c r="N11" s="609"/>
      <c r="O11" s="218"/>
      <c r="P11" s="610"/>
      <c r="Q11" s="610"/>
      <c r="R11" s="610"/>
      <c r="S11" s="610"/>
      <c r="T11" s="610"/>
      <c r="U11" s="610"/>
      <c r="V11" s="610"/>
      <c r="W11" s="610"/>
      <c r="X11" s="610"/>
      <c r="Y11" s="610"/>
      <c r="Z11" s="610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610"/>
      <c r="AS11" s="610"/>
      <c r="AT11" s="610"/>
      <c r="AU11" s="610"/>
      <c r="AV11" s="610"/>
      <c r="AW11" s="610"/>
      <c r="AX11" s="610"/>
      <c r="AY11" s="610"/>
      <c r="AZ11" s="610"/>
      <c r="BA11" s="610"/>
      <c r="BB11" s="610"/>
      <c r="BC11" s="610"/>
      <c r="BD11" s="610"/>
      <c r="BE11" s="610"/>
      <c r="BF11" s="610"/>
      <c r="BG11" s="610"/>
      <c r="BH11" s="610"/>
      <c r="BI11" s="610"/>
      <c r="BJ11" s="610"/>
      <c r="BK11" s="610"/>
      <c r="BL11" s="610"/>
      <c r="BM11" s="610"/>
      <c r="BN11" s="610"/>
    </row>
    <row r="12" spans="1:66" s="621" customFormat="1" ht="14.25" customHeight="1" thickTop="1" thickBot="1" x14ac:dyDescent="0.25">
      <c r="A12" s="612"/>
      <c r="B12" s="613" t="s">
        <v>163</v>
      </c>
      <c r="C12" s="614"/>
      <c r="D12" s="39">
        <f>D420+D402</f>
        <v>189772</v>
      </c>
      <c r="E12" s="40">
        <f t="shared" ref="E12:K12" si="2">E420+E402</f>
        <v>0</v>
      </c>
      <c r="F12" s="40">
        <f t="shared" si="2"/>
        <v>0</v>
      </c>
      <c r="G12" s="40">
        <f t="shared" si="2"/>
        <v>94886</v>
      </c>
      <c r="H12" s="615">
        <f t="shared" si="2"/>
        <v>94886</v>
      </c>
      <c r="I12" s="39">
        <f>I420+I402</f>
        <v>0</v>
      </c>
      <c r="J12" s="607">
        <f>I12/D12*100</f>
        <v>0</v>
      </c>
      <c r="K12" s="39">
        <f t="shared" si="2"/>
        <v>0</v>
      </c>
      <c r="L12" s="616">
        <v>0</v>
      </c>
      <c r="M12" s="617">
        <f t="shared" si="1"/>
        <v>-94886</v>
      </c>
      <c r="N12" s="618"/>
      <c r="O12" s="619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0"/>
      <c r="AM12" s="620"/>
      <c r="AN12" s="620"/>
      <c r="AO12" s="620"/>
      <c r="AP12" s="620"/>
      <c r="AQ12" s="620"/>
      <c r="AR12" s="620"/>
      <c r="AS12" s="620"/>
      <c r="AT12" s="620"/>
      <c r="AU12" s="620"/>
      <c r="AV12" s="620"/>
      <c r="AW12" s="620"/>
      <c r="AX12" s="620"/>
      <c r="AY12" s="620"/>
      <c r="AZ12" s="620"/>
      <c r="BA12" s="620"/>
      <c r="BB12" s="620"/>
      <c r="BC12" s="620"/>
      <c r="BD12" s="620"/>
      <c r="BE12" s="620"/>
      <c r="BF12" s="620"/>
      <c r="BG12" s="620"/>
      <c r="BH12" s="620"/>
      <c r="BI12" s="620"/>
      <c r="BJ12" s="620"/>
      <c r="BK12" s="620"/>
      <c r="BL12" s="620"/>
      <c r="BM12" s="620"/>
      <c r="BN12" s="620"/>
    </row>
    <row r="13" spans="1:66" s="611" customFormat="1" ht="14.25" customHeight="1" thickTop="1" thickBot="1" x14ac:dyDescent="0.25">
      <c r="A13" s="622"/>
      <c r="B13" s="623" t="s">
        <v>164</v>
      </c>
      <c r="C13" s="624"/>
      <c r="D13" s="625">
        <f>D55+D69+D85+D99+D115+D131+D145+D157+D166+D178+D190+D202+D211+D223+D232+D244+D255+D264+D273+D282+D291+D300+D334+D343+D352+D386+D307</f>
        <v>752386449</v>
      </c>
      <c r="E13" s="626">
        <f t="shared" ref="E13:K13" si="3">E55+E69+E85+E99+E115+E131+E145+E157+E166+E178+E190+E202+E211+E223+E232+E244+E255+E264+E273+E282+E291+E300+E334+E343+E352+E386+E307</f>
        <v>332854508</v>
      </c>
      <c r="F13" s="626">
        <f t="shared" si="3"/>
        <v>149249483</v>
      </c>
      <c r="G13" s="626">
        <f t="shared" si="3"/>
        <v>192094027</v>
      </c>
      <c r="H13" s="627">
        <f t="shared" si="3"/>
        <v>78188431</v>
      </c>
      <c r="I13" s="625">
        <f t="shared" si="3"/>
        <v>493968236</v>
      </c>
      <c r="J13" s="607">
        <f>I13/D13*100</f>
        <v>65.653526410069617</v>
      </c>
      <c r="K13" s="625">
        <f t="shared" si="3"/>
        <v>12721196</v>
      </c>
      <c r="L13" s="628">
        <f>K13/G13*100</f>
        <v>6.6223797786278906</v>
      </c>
      <c r="M13" s="629">
        <f t="shared" si="1"/>
        <v>-179372831</v>
      </c>
      <c r="N13" s="609"/>
      <c r="O13" s="630"/>
      <c r="P13" s="610"/>
      <c r="Q13" s="610"/>
      <c r="R13" s="610"/>
      <c r="S13" s="610"/>
      <c r="T13" s="610"/>
      <c r="U13" s="610"/>
      <c r="V13" s="610"/>
      <c r="W13" s="610"/>
      <c r="X13" s="610"/>
      <c r="Y13" s="610"/>
      <c r="Z13" s="610"/>
      <c r="AA13" s="610"/>
      <c r="AB13" s="610"/>
      <c r="AC13" s="610"/>
      <c r="AD13" s="610"/>
      <c r="AE13" s="610"/>
      <c r="AF13" s="610"/>
      <c r="AG13" s="610"/>
      <c r="AH13" s="610"/>
      <c r="AI13" s="610"/>
      <c r="AJ13" s="610"/>
      <c r="AK13" s="610"/>
      <c r="AL13" s="610"/>
      <c r="AM13" s="610"/>
      <c r="AN13" s="610"/>
      <c r="AO13" s="610"/>
      <c r="AP13" s="610"/>
      <c r="AQ13" s="610"/>
      <c r="AR13" s="610"/>
      <c r="AS13" s="610"/>
      <c r="AT13" s="610"/>
      <c r="AU13" s="610"/>
      <c r="AV13" s="610"/>
      <c r="AW13" s="610"/>
      <c r="AX13" s="610"/>
      <c r="AY13" s="610"/>
      <c r="AZ13" s="610"/>
      <c r="BA13" s="610"/>
      <c r="BB13" s="610"/>
      <c r="BC13" s="610"/>
      <c r="BD13" s="610"/>
      <c r="BE13" s="610"/>
      <c r="BF13" s="610"/>
      <c r="BG13" s="610"/>
      <c r="BH13" s="610"/>
      <c r="BI13" s="610"/>
      <c r="BJ13" s="610"/>
      <c r="BK13" s="610"/>
      <c r="BL13" s="610"/>
      <c r="BM13" s="610"/>
      <c r="BN13" s="610"/>
    </row>
    <row r="14" spans="1:66" ht="13.5" customHeight="1" x14ac:dyDescent="0.2">
      <c r="A14" s="3263"/>
      <c r="B14" s="631" t="s">
        <v>2</v>
      </c>
      <c r="C14" s="632"/>
      <c r="D14" s="633">
        <f t="shared" ref="D14:H14" si="4">+D15+D21</f>
        <v>752576221</v>
      </c>
      <c r="E14" s="634">
        <f t="shared" si="4"/>
        <v>332854508</v>
      </c>
      <c r="F14" s="634">
        <f t="shared" si="4"/>
        <v>149249483</v>
      </c>
      <c r="G14" s="634">
        <f t="shared" si="4"/>
        <v>192188913</v>
      </c>
      <c r="H14" s="635">
        <f t="shared" si="4"/>
        <v>78283317</v>
      </c>
      <c r="I14" s="636">
        <f>+I15+I21</f>
        <v>493968236</v>
      </c>
      <c r="J14" s="637">
        <f>I14/D14*100</f>
        <v>65.6369710092129</v>
      </c>
      <c r="K14" s="636">
        <f t="shared" ref="K14" si="5">+K15+K21</f>
        <v>12721196</v>
      </c>
      <c r="L14" s="638">
        <f t="shared" ref="L14:L36" si="6">K14/G14*100</f>
        <v>6.6191102293190029</v>
      </c>
      <c r="M14" s="639">
        <f t="shared" si="1"/>
        <v>-179467717</v>
      </c>
      <c r="N14" s="3266"/>
      <c r="O14" s="218"/>
      <c r="P14" s="218"/>
      <c r="Q14" s="218"/>
      <c r="R14" s="640"/>
      <c r="S14" s="640"/>
      <c r="T14" s="640"/>
    </row>
    <row r="15" spans="1:66" s="219" customFormat="1" ht="13.5" customHeight="1" x14ac:dyDescent="0.2">
      <c r="A15" s="3264"/>
      <c r="B15" s="641" t="s">
        <v>3</v>
      </c>
      <c r="C15" s="3269"/>
      <c r="D15" s="642">
        <f t="shared" ref="D15:H15" si="7">+D16+D17+D18+D19+D20</f>
        <v>266095118</v>
      </c>
      <c r="E15" s="643">
        <f t="shared" si="7"/>
        <v>132809748</v>
      </c>
      <c r="F15" s="643">
        <f t="shared" si="7"/>
        <v>42802340</v>
      </c>
      <c r="G15" s="643">
        <f t="shared" si="7"/>
        <v>64723713</v>
      </c>
      <c r="H15" s="644">
        <f t="shared" si="7"/>
        <v>25759317</v>
      </c>
      <c r="I15" s="645">
        <f>+I16+I17+I18+I19+I20</f>
        <v>179895632</v>
      </c>
      <c r="J15" s="646">
        <f>I15/D15*100</f>
        <v>67.605761936601937</v>
      </c>
      <c r="K15" s="645">
        <f t="shared" ref="K15" si="8">+K16+K17+K18+K19+K20</f>
        <v>4744576</v>
      </c>
      <c r="L15" s="647">
        <f t="shared" si="6"/>
        <v>7.3305065177580273</v>
      </c>
      <c r="M15" s="648">
        <f t="shared" si="1"/>
        <v>-59979137</v>
      </c>
      <c r="N15" s="3267"/>
      <c r="O15" s="218"/>
      <c r="P15" s="649"/>
      <c r="R15" s="650"/>
      <c r="S15" s="651"/>
      <c r="T15" s="650"/>
    </row>
    <row r="16" spans="1:66" ht="13.5" customHeight="1" x14ac:dyDescent="0.2">
      <c r="A16" s="3264"/>
      <c r="B16" s="652" t="s">
        <v>4</v>
      </c>
      <c r="C16" s="3270"/>
      <c r="D16" s="653">
        <f t="shared" ref="D16:I16" si="9">+D40+D318+D372+D413</f>
        <v>118985138</v>
      </c>
      <c r="E16" s="654">
        <f t="shared" si="9"/>
        <v>42605132</v>
      </c>
      <c r="F16" s="654">
        <f t="shared" si="9"/>
        <v>25770844</v>
      </c>
      <c r="G16" s="654">
        <f t="shared" si="9"/>
        <v>38393595</v>
      </c>
      <c r="H16" s="655">
        <f t="shared" si="9"/>
        <v>12215567</v>
      </c>
      <c r="I16" s="656">
        <f t="shared" si="9"/>
        <v>72518123</v>
      </c>
      <c r="J16" s="657">
        <f t="shared" ref="J16:J36" si="10">I16/D16*100</f>
        <v>60.947210902928063</v>
      </c>
      <c r="K16" s="658">
        <f>+K40+K318+K372+K413</f>
        <v>4602617</v>
      </c>
      <c r="L16" s="659">
        <f t="shared" si="6"/>
        <v>11.987981328656511</v>
      </c>
      <c r="M16" s="660">
        <f t="shared" si="1"/>
        <v>-33790978</v>
      </c>
      <c r="N16" s="3267"/>
      <c r="O16" s="218"/>
      <c r="R16" s="218"/>
    </row>
    <row r="17" spans="1:20" ht="12" customHeight="1" x14ac:dyDescent="0.2">
      <c r="A17" s="3264"/>
      <c r="B17" s="661" t="s">
        <v>28</v>
      </c>
      <c r="C17" s="3270"/>
      <c r="D17" s="653">
        <f>++D373</f>
        <v>14587500</v>
      </c>
      <c r="E17" s="654">
        <f t="shared" ref="E17:H17" si="11">++E373</f>
        <v>0</v>
      </c>
      <c r="F17" s="654">
        <f t="shared" si="11"/>
        <v>0</v>
      </c>
      <c r="G17" s="654">
        <f t="shared" si="11"/>
        <v>7293750</v>
      </c>
      <c r="H17" s="655">
        <f t="shared" si="11"/>
        <v>7293750</v>
      </c>
      <c r="I17" s="656">
        <f>++I373</f>
        <v>0</v>
      </c>
      <c r="J17" s="657">
        <f t="shared" si="10"/>
        <v>0</v>
      </c>
      <c r="K17" s="658">
        <f t="shared" ref="K17" si="12">++K373</f>
        <v>0</v>
      </c>
      <c r="L17" s="662">
        <v>0</v>
      </c>
      <c r="M17" s="660">
        <f t="shared" si="1"/>
        <v>-7293750</v>
      </c>
      <c r="N17" s="3267"/>
      <c r="O17" s="218"/>
    </row>
    <row r="18" spans="1:20" ht="13.5" customHeight="1" x14ac:dyDescent="0.2">
      <c r="A18" s="3264"/>
      <c r="B18" s="652" t="s">
        <v>9</v>
      </c>
      <c r="C18" s="3270"/>
      <c r="D18" s="653">
        <f t="shared" ref="D18:H18" si="13">+D41</f>
        <v>18002944</v>
      </c>
      <c r="E18" s="654">
        <f t="shared" si="13"/>
        <v>18002944</v>
      </c>
      <c r="F18" s="654">
        <f t="shared" si="13"/>
        <v>0</v>
      </c>
      <c r="G18" s="654">
        <f t="shared" si="13"/>
        <v>0</v>
      </c>
      <c r="H18" s="655">
        <f t="shared" si="13"/>
        <v>0</v>
      </c>
      <c r="I18" s="656">
        <f t="shared" ref="I18" si="14">+I41</f>
        <v>18002944</v>
      </c>
      <c r="J18" s="657">
        <f t="shared" si="10"/>
        <v>100</v>
      </c>
      <c r="K18" s="658">
        <f t="shared" ref="K18" si="15">+K41</f>
        <v>0</v>
      </c>
      <c r="L18" s="662">
        <v>0</v>
      </c>
      <c r="M18" s="660">
        <f t="shared" ref="M18:M20" si="16">+K18-G18</f>
        <v>0</v>
      </c>
      <c r="N18" s="3267"/>
      <c r="O18" s="218"/>
    </row>
    <row r="19" spans="1:20" ht="13.5" customHeight="1" x14ac:dyDescent="0.2">
      <c r="A19" s="3264"/>
      <c r="B19" s="652" t="s">
        <v>10</v>
      </c>
      <c r="C19" s="3270"/>
      <c r="D19" s="653">
        <f t="shared" ref="D19:H19" si="17">+D374</f>
        <v>39488536</v>
      </c>
      <c r="E19" s="654">
        <f t="shared" si="17"/>
        <v>0</v>
      </c>
      <c r="F19" s="654">
        <f t="shared" si="17"/>
        <v>15660000</v>
      </c>
      <c r="G19" s="654">
        <f t="shared" si="17"/>
        <v>17578536</v>
      </c>
      <c r="H19" s="655">
        <f t="shared" si="17"/>
        <v>6250000</v>
      </c>
      <c r="I19" s="656">
        <f t="shared" ref="I19" si="18">+I374</f>
        <v>15660000</v>
      </c>
      <c r="J19" s="657">
        <f t="shared" si="10"/>
        <v>39.657079209013979</v>
      </c>
      <c r="K19" s="658">
        <f t="shared" ref="K19" si="19">+K374</f>
        <v>0</v>
      </c>
      <c r="L19" s="659">
        <f t="shared" si="6"/>
        <v>0</v>
      </c>
      <c r="M19" s="660">
        <f t="shared" si="16"/>
        <v>-17578536</v>
      </c>
      <c r="N19" s="3267"/>
      <c r="O19" s="218"/>
    </row>
    <row r="20" spans="1:20" ht="13.5" customHeight="1" x14ac:dyDescent="0.2">
      <c r="A20" s="3264"/>
      <c r="B20" s="652" t="s">
        <v>11</v>
      </c>
      <c r="C20" s="3270"/>
      <c r="D20" s="653">
        <f t="shared" ref="D20:H20" si="20">D42</f>
        <v>75031000</v>
      </c>
      <c r="E20" s="654">
        <f t="shared" si="20"/>
        <v>72201672</v>
      </c>
      <c r="F20" s="654">
        <f t="shared" si="20"/>
        <v>1371496</v>
      </c>
      <c r="G20" s="654">
        <f t="shared" si="20"/>
        <v>1457832</v>
      </c>
      <c r="H20" s="655">
        <f t="shared" si="20"/>
        <v>0</v>
      </c>
      <c r="I20" s="658">
        <f t="shared" ref="I20" si="21">I42</f>
        <v>73714565</v>
      </c>
      <c r="J20" s="657">
        <f t="shared" si="10"/>
        <v>98.245478535538638</v>
      </c>
      <c r="K20" s="658">
        <f t="shared" ref="K20" si="22">K42</f>
        <v>141959</v>
      </c>
      <c r="L20" s="659">
        <f t="shared" si="6"/>
        <v>9.7376789643799846</v>
      </c>
      <c r="M20" s="660">
        <f t="shared" si="16"/>
        <v>-1315873</v>
      </c>
      <c r="N20" s="3267"/>
      <c r="O20" s="218"/>
    </row>
    <row r="21" spans="1:20" s="219" customFormat="1" ht="13.5" customHeight="1" x14ac:dyDescent="0.2">
      <c r="A21" s="3264"/>
      <c r="B21" s="641" t="s">
        <v>12</v>
      </c>
      <c r="C21" s="3270"/>
      <c r="D21" s="642">
        <f>+D22+D24+D25+D23</f>
        <v>486481103</v>
      </c>
      <c r="E21" s="643">
        <f t="shared" ref="E21:F21" si="23">+E22+E24+E25</f>
        <v>200044760</v>
      </c>
      <c r="F21" s="643">
        <f t="shared" si="23"/>
        <v>106447143</v>
      </c>
      <c r="G21" s="643">
        <f>+G22+G24+G25+G23</f>
        <v>127465200</v>
      </c>
      <c r="H21" s="644">
        <f>+H22+H24+H25+H23</f>
        <v>52524000</v>
      </c>
      <c r="I21" s="645">
        <f>+I22+I24+I25+I23</f>
        <v>314072604</v>
      </c>
      <c r="J21" s="646">
        <f t="shared" si="10"/>
        <v>64.560083025465431</v>
      </c>
      <c r="K21" s="645">
        <f>+K22+K24+K25+K23</f>
        <v>7976620</v>
      </c>
      <c r="L21" s="647">
        <f t="shared" si="6"/>
        <v>6.2578805823079549</v>
      </c>
      <c r="M21" s="648">
        <f>+K21-G21</f>
        <v>-119488580</v>
      </c>
      <c r="N21" s="3267"/>
      <c r="O21" s="218"/>
    </row>
    <row r="22" spans="1:20" s="219" customFormat="1" ht="13.5" hidden="1" customHeight="1" x14ac:dyDescent="0.2">
      <c r="A22" s="3264"/>
      <c r="B22" s="652" t="s">
        <v>11</v>
      </c>
      <c r="C22" s="3270"/>
      <c r="D22" s="663">
        <f t="shared" ref="D22:H22" si="24">+D44</f>
        <v>0</v>
      </c>
      <c r="E22" s="664">
        <f t="shared" si="24"/>
        <v>0</v>
      </c>
      <c r="F22" s="664">
        <f t="shared" si="24"/>
        <v>0</v>
      </c>
      <c r="G22" s="664">
        <f t="shared" si="24"/>
        <v>0</v>
      </c>
      <c r="H22" s="665">
        <f t="shared" si="24"/>
        <v>0</v>
      </c>
      <c r="I22" s="666">
        <f t="shared" ref="I22" si="25">+I44</f>
        <v>0</v>
      </c>
      <c r="J22" s="666" t="e">
        <f t="shared" si="10"/>
        <v>#DIV/0!</v>
      </c>
      <c r="K22" s="666">
        <f t="shared" ref="K22" si="26">+K44</f>
        <v>0</v>
      </c>
      <c r="L22" s="664" t="e">
        <f t="shared" si="6"/>
        <v>#DIV/0!</v>
      </c>
      <c r="M22" s="664">
        <f t="shared" ref="M22" si="27">+K22-G22*0.5</f>
        <v>0</v>
      </c>
      <c r="N22" s="3267"/>
      <c r="O22" s="218"/>
    </row>
    <row r="23" spans="1:20" s="219" customFormat="1" ht="13.5" customHeight="1" x14ac:dyDescent="0.2">
      <c r="A23" s="3264"/>
      <c r="B23" s="652" t="s">
        <v>337</v>
      </c>
      <c r="C23" s="3270"/>
      <c r="D23" s="663">
        <f>+D376</f>
        <v>0</v>
      </c>
      <c r="E23" s="666">
        <f t="shared" ref="E23:H23" si="28">+E376</f>
        <v>0</v>
      </c>
      <c r="F23" s="667">
        <f t="shared" si="28"/>
        <v>0</v>
      </c>
      <c r="G23" s="666">
        <f t="shared" si="28"/>
        <v>0</v>
      </c>
      <c r="H23" s="665">
        <f t="shared" si="28"/>
        <v>0</v>
      </c>
      <c r="I23" s="668">
        <f>+I376</f>
        <v>1023120</v>
      </c>
      <c r="J23" s="669">
        <f t="shared" ref="J23:L23" si="29">+J376</f>
        <v>0</v>
      </c>
      <c r="K23" s="658">
        <f t="shared" si="29"/>
        <v>0</v>
      </c>
      <c r="L23" s="670">
        <f t="shared" si="29"/>
        <v>0</v>
      </c>
      <c r="M23" s="660">
        <f t="shared" ref="M23:M28" si="30">+K23-G23</f>
        <v>0</v>
      </c>
      <c r="N23" s="3267"/>
      <c r="O23" s="218"/>
    </row>
    <row r="24" spans="1:20" ht="13.5" customHeight="1" x14ac:dyDescent="0.2">
      <c r="A24" s="3264"/>
      <c r="B24" s="671" t="s">
        <v>13</v>
      </c>
      <c r="C24" s="3270"/>
      <c r="D24" s="653">
        <f t="shared" ref="D24:I24" si="31">+D320+D415</f>
        <v>14714497</v>
      </c>
      <c r="E24" s="654">
        <f t="shared" si="31"/>
        <v>14714497</v>
      </c>
      <c r="F24" s="654">
        <f t="shared" si="31"/>
        <v>0</v>
      </c>
      <c r="G24" s="654">
        <f t="shared" si="31"/>
        <v>0</v>
      </c>
      <c r="H24" s="655">
        <f t="shared" si="31"/>
        <v>0</v>
      </c>
      <c r="I24" s="656">
        <f t="shared" si="31"/>
        <v>14714497</v>
      </c>
      <c r="J24" s="657">
        <f t="shared" si="10"/>
        <v>100</v>
      </c>
      <c r="K24" s="658">
        <f>+K320+K415</f>
        <v>0</v>
      </c>
      <c r="L24" s="662">
        <v>0</v>
      </c>
      <c r="M24" s="660">
        <f t="shared" si="30"/>
        <v>0</v>
      </c>
      <c r="N24" s="3267"/>
      <c r="O24" s="218"/>
    </row>
    <row r="25" spans="1:20" ht="13.5" customHeight="1" x14ac:dyDescent="0.2">
      <c r="A25" s="3264"/>
      <c r="B25" s="671" t="s">
        <v>14</v>
      </c>
      <c r="C25" s="3270"/>
      <c r="D25" s="653">
        <f t="shared" ref="D25:I25" si="32">+D45+D377</f>
        <v>471766606</v>
      </c>
      <c r="E25" s="654">
        <f t="shared" si="32"/>
        <v>185330263</v>
      </c>
      <c r="F25" s="654">
        <f t="shared" si="32"/>
        <v>106447143</v>
      </c>
      <c r="G25" s="654">
        <f t="shared" si="32"/>
        <v>127465200</v>
      </c>
      <c r="H25" s="655">
        <f t="shared" si="32"/>
        <v>52524000</v>
      </c>
      <c r="I25" s="658">
        <f t="shared" si="32"/>
        <v>298334987</v>
      </c>
      <c r="J25" s="657">
        <f t="shared" si="10"/>
        <v>63.237834811902729</v>
      </c>
      <c r="K25" s="658">
        <f>+K45+K377</f>
        <v>7976620</v>
      </c>
      <c r="L25" s="659">
        <f t="shared" si="6"/>
        <v>6.2578805823079549</v>
      </c>
      <c r="M25" s="660">
        <f t="shared" si="30"/>
        <v>-119488580</v>
      </c>
      <c r="N25" s="3267"/>
      <c r="O25" s="218"/>
    </row>
    <row r="26" spans="1:20" x14ac:dyDescent="0.2">
      <c r="A26" s="3264"/>
      <c r="B26" s="220" t="s">
        <v>16</v>
      </c>
      <c r="C26" s="25"/>
      <c r="D26" s="672">
        <f>+D27+D33</f>
        <v>634432564</v>
      </c>
      <c r="E26" s="673">
        <f>+E27+E33</f>
        <v>267930397</v>
      </c>
      <c r="F26" s="673">
        <f>+F27+F33</f>
        <v>132176595</v>
      </c>
      <c r="G26" s="673">
        <f>+G27+G33</f>
        <v>165470341</v>
      </c>
      <c r="H26" s="674">
        <f>+H27+H33</f>
        <v>68013750</v>
      </c>
      <c r="I26" s="675">
        <f t="shared" ref="I26" si="33">+I27+I33</f>
        <v>425048236</v>
      </c>
      <c r="J26" s="676">
        <f t="shared" si="10"/>
        <v>66.996598238926467</v>
      </c>
      <c r="K26" s="675">
        <f t="shared" ref="K26" si="34">+K27+K33</f>
        <v>21338372</v>
      </c>
      <c r="L26" s="677">
        <f t="shared" si="6"/>
        <v>12.895587131230968</v>
      </c>
      <c r="M26" s="673">
        <f t="shared" si="30"/>
        <v>-144131969</v>
      </c>
      <c r="N26" s="3267"/>
      <c r="O26" s="218"/>
      <c r="Q26" s="678"/>
      <c r="R26" s="640"/>
      <c r="S26" s="679"/>
      <c r="T26" s="640"/>
    </row>
    <row r="27" spans="1:20" ht="13.5" customHeight="1" x14ac:dyDescent="0.2">
      <c r="A27" s="3264"/>
      <c r="B27" s="680" t="s">
        <v>17</v>
      </c>
      <c r="C27" s="3271"/>
      <c r="D27" s="681">
        <f>+D28+D29+D30+D31+D32</f>
        <v>147951461</v>
      </c>
      <c r="E27" s="682">
        <f t="shared" ref="E27:H27" si="35">+E28+E29+E30+E31</f>
        <v>103394360</v>
      </c>
      <c r="F27" s="682">
        <f t="shared" si="35"/>
        <v>13769997</v>
      </c>
      <c r="G27" s="682">
        <f>+G28+G29+G30+G31+G32</f>
        <v>16401873</v>
      </c>
      <c r="H27" s="683">
        <f t="shared" si="35"/>
        <v>13543750</v>
      </c>
      <c r="I27" s="684">
        <f t="shared" ref="I27" si="36">+I28+I29+I30+I31</f>
        <v>123414357</v>
      </c>
      <c r="J27" s="685">
        <f t="shared" si="10"/>
        <v>83.415436499136703</v>
      </c>
      <c r="K27" s="684">
        <f t="shared" ref="K27" si="37">+K28+K29+K30+K31</f>
        <v>6250000</v>
      </c>
      <c r="L27" s="686">
        <f t="shared" si="6"/>
        <v>38.10540418158341</v>
      </c>
      <c r="M27" s="682">
        <f t="shared" si="30"/>
        <v>-10151873</v>
      </c>
      <c r="N27" s="3267"/>
      <c r="O27" s="218"/>
      <c r="R27" s="650"/>
      <c r="S27" s="651"/>
      <c r="T27" s="650"/>
    </row>
    <row r="28" spans="1:20" ht="13.5" customHeight="1" x14ac:dyDescent="0.2">
      <c r="A28" s="3264"/>
      <c r="B28" s="661" t="s">
        <v>28</v>
      </c>
      <c r="C28" s="3272"/>
      <c r="D28" s="653">
        <f t="shared" ref="D28:H28" si="38">+D380</f>
        <v>14587500</v>
      </c>
      <c r="E28" s="654">
        <f t="shared" si="38"/>
        <v>0</v>
      </c>
      <c r="F28" s="654">
        <f t="shared" si="38"/>
        <v>0</v>
      </c>
      <c r="G28" s="654">
        <f t="shared" si="38"/>
        <v>7293750</v>
      </c>
      <c r="H28" s="655">
        <f t="shared" si="38"/>
        <v>7293750</v>
      </c>
      <c r="I28" s="687">
        <f t="shared" ref="I28" si="39">+I380</f>
        <v>0</v>
      </c>
      <c r="J28" s="688">
        <f t="shared" si="10"/>
        <v>0</v>
      </c>
      <c r="K28" s="689">
        <f t="shared" ref="K28" si="40">+K380</f>
        <v>0</v>
      </c>
      <c r="L28" s="664">
        <v>0</v>
      </c>
      <c r="M28" s="654">
        <f t="shared" si="30"/>
        <v>-7293750</v>
      </c>
      <c r="N28" s="3267"/>
      <c r="O28" s="218"/>
    </row>
    <row r="29" spans="1:20" ht="12" customHeight="1" x14ac:dyDescent="0.2">
      <c r="A29" s="3264"/>
      <c r="B29" s="690" t="s">
        <v>9</v>
      </c>
      <c r="C29" s="3272"/>
      <c r="D29" s="653">
        <f t="shared" ref="D29:H29" si="41">+D48</f>
        <v>18002944</v>
      </c>
      <c r="E29" s="654">
        <f t="shared" si="41"/>
        <v>16013080</v>
      </c>
      <c r="F29" s="654">
        <f t="shared" si="41"/>
        <v>1989864</v>
      </c>
      <c r="G29" s="654">
        <f t="shared" si="41"/>
        <v>0</v>
      </c>
      <c r="H29" s="655">
        <f t="shared" si="41"/>
        <v>0</v>
      </c>
      <c r="I29" s="656">
        <f t="shared" ref="I29" si="42">+I48</f>
        <v>18002944</v>
      </c>
      <c r="J29" s="659">
        <f t="shared" si="10"/>
        <v>100</v>
      </c>
      <c r="K29" s="658">
        <f t="shared" ref="K29" si="43">+K48</f>
        <v>0</v>
      </c>
      <c r="L29" s="662">
        <v>0</v>
      </c>
      <c r="M29" s="654">
        <f t="shared" ref="M29:M32" si="44">+K29-G29</f>
        <v>0</v>
      </c>
      <c r="N29" s="3267"/>
      <c r="O29" s="218"/>
    </row>
    <row r="30" spans="1:20" ht="12.75" customHeight="1" x14ac:dyDescent="0.2">
      <c r="A30" s="3264"/>
      <c r="B30" s="690" t="s">
        <v>29</v>
      </c>
      <c r="C30" s="3272"/>
      <c r="D30" s="653">
        <f t="shared" ref="D30:H30" si="45">+D381</f>
        <v>39488536</v>
      </c>
      <c r="E30" s="654">
        <f t="shared" si="45"/>
        <v>20738536</v>
      </c>
      <c r="F30" s="654">
        <f t="shared" si="45"/>
        <v>6250000</v>
      </c>
      <c r="G30" s="654">
        <f t="shared" si="45"/>
        <v>6250000</v>
      </c>
      <c r="H30" s="655">
        <f t="shared" si="45"/>
        <v>6250000</v>
      </c>
      <c r="I30" s="656">
        <f t="shared" ref="I30" si="46">+I381</f>
        <v>33238536</v>
      </c>
      <c r="J30" s="659">
        <f t="shared" si="10"/>
        <v>84.172621643912052</v>
      </c>
      <c r="K30" s="658">
        <f t="shared" ref="K30" si="47">+K381</f>
        <v>6250000</v>
      </c>
      <c r="L30" s="659">
        <f t="shared" si="6"/>
        <v>100</v>
      </c>
      <c r="M30" s="654">
        <f t="shared" si="44"/>
        <v>0</v>
      </c>
      <c r="N30" s="3267"/>
      <c r="O30" s="218"/>
    </row>
    <row r="31" spans="1:20" ht="12.75" customHeight="1" x14ac:dyDescent="0.2">
      <c r="A31" s="3264"/>
      <c r="B31" s="652" t="s">
        <v>11</v>
      </c>
      <c r="C31" s="3272"/>
      <c r="D31" s="653">
        <f t="shared" ref="D31:H31" si="48">D49</f>
        <v>75031000</v>
      </c>
      <c r="E31" s="654">
        <f t="shared" si="48"/>
        <v>66642744</v>
      </c>
      <c r="F31" s="654">
        <f t="shared" si="48"/>
        <v>5530133</v>
      </c>
      <c r="G31" s="654">
        <f t="shared" si="48"/>
        <v>2858123</v>
      </c>
      <c r="H31" s="655">
        <f t="shared" si="48"/>
        <v>0</v>
      </c>
      <c r="I31" s="658">
        <f t="shared" ref="I31" si="49">I49</f>
        <v>72172877</v>
      </c>
      <c r="J31" s="659">
        <f t="shared" si="10"/>
        <v>96.190743825885306</v>
      </c>
      <c r="K31" s="658">
        <f t="shared" ref="K31" si="50">K49</f>
        <v>0</v>
      </c>
      <c r="L31" s="659">
        <f t="shared" si="6"/>
        <v>0</v>
      </c>
      <c r="M31" s="654">
        <f t="shared" si="44"/>
        <v>-2858123</v>
      </c>
      <c r="N31" s="3267"/>
      <c r="O31" s="218"/>
    </row>
    <row r="32" spans="1:20" ht="24.75" customHeight="1" x14ac:dyDescent="0.2">
      <c r="A32" s="3264"/>
      <c r="B32" s="671" t="s">
        <v>299</v>
      </c>
      <c r="C32" s="3272"/>
      <c r="D32" s="653">
        <f>D50</f>
        <v>841481</v>
      </c>
      <c r="E32" s="689">
        <f t="shared" ref="E32:K32" si="51">E50</f>
        <v>0</v>
      </c>
      <c r="F32" s="689">
        <f t="shared" si="51"/>
        <v>841481</v>
      </c>
      <c r="G32" s="689">
        <f t="shared" si="51"/>
        <v>0</v>
      </c>
      <c r="H32" s="691">
        <f t="shared" si="51"/>
        <v>0</v>
      </c>
      <c r="I32" s="653">
        <f t="shared" si="51"/>
        <v>841481</v>
      </c>
      <c r="J32" s="657">
        <f t="shared" si="10"/>
        <v>100</v>
      </c>
      <c r="K32" s="689">
        <f t="shared" si="51"/>
        <v>0</v>
      </c>
      <c r="L32" s="662">
        <v>0</v>
      </c>
      <c r="M32" s="654">
        <f t="shared" si="44"/>
        <v>0</v>
      </c>
      <c r="N32" s="3267"/>
      <c r="O32" s="218"/>
    </row>
    <row r="33" spans="1:20" ht="12.75" customHeight="1" x14ac:dyDescent="0.2">
      <c r="A33" s="3264"/>
      <c r="B33" s="692" t="s">
        <v>12</v>
      </c>
      <c r="C33" s="3272"/>
      <c r="D33" s="642">
        <f>+D35+D36+D34</f>
        <v>486481103</v>
      </c>
      <c r="E33" s="643">
        <f t="shared" ref="E33:F33" si="52">+E35+E36</f>
        <v>164536037</v>
      </c>
      <c r="F33" s="643">
        <f t="shared" si="52"/>
        <v>118406598</v>
      </c>
      <c r="G33" s="643">
        <f>+G35+G36+G34</f>
        <v>149068468</v>
      </c>
      <c r="H33" s="644">
        <f>+H35+H36+H34</f>
        <v>54470000</v>
      </c>
      <c r="I33" s="693">
        <f>+I35+I36+I34</f>
        <v>301633879</v>
      </c>
      <c r="J33" s="694">
        <f t="shared" si="10"/>
        <v>62.003205703141148</v>
      </c>
      <c r="K33" s="695">
        <f>+K35+K36+K34</f>
        <v>15088372</v>
      </c>
      <c r="L33" s="659">
        <f t="shared" si="6"/>
        <v>10.121773036535131</v>
      </c>
      <c r="M33" s="643">
        <f>+K33-G33</f>
        <v>-133980096</v>
      </c>
      <c r="N33" s="3267"/>
      <c r="O33" s="218"/>
    </row>
    <row r="34" spans="1:20" ht="12.75" customHeight="1" x14ac:dyDescent="0.2">
      <c r="A34" s="3264"/>
      <c r="B34" s="652" t="s">
        <v>337</v>
      </c>
      <c r="C34" s="3272"/>
      <c r="D34" s="663">
        <f>+D383</f>
        <v>0</v>
      </c>
      <c r="E34" s="666">
        <f t="shared" ref="E34:H34" si="53">+E383</f>
        <v>0</v>
      </c>
      <c r="F34" s="667">
        <f t="shared" si="53"/>
        <v>0</v>
      </c>
      <c r="G34" s="666">
        <f t="shared" si="53"/>
        <v>0</v>
      </c>
      <c r="H34" s="665">
        <f t="shared" si="53"/>
        <v>0</v>
      </c>
      <c r="I34" s="668">
        <f>+I383</f>
        <v>1023120</v>
      </c>
      <c r="J34" s="669">
        <f t="shared" ref="J34:M34" si="54">+J383</f>
        <v>0</v>
      </c>
      <c r="K34" s="658">
        <f t="shared" si="54"/>
        <v>0</v>
      </c>
      <c r="L34" s="670">
        <f t="shared" si="54"/>
        <v>0</v>
      </c>
      <c r="M34" s="660">
        <f t="shared" si="54"/>
        <v>0</v>
      </c>
      <c r="N34" s="3267"/>
      <c r="O34" s="218"/>
    </row>
    <row r="35" spans="1:20" ht="13.5" customHeight="1" x14ac:dyDescent="0.2">
      <c r="A35" s="3264"/>
      <c r="B35" s="671" t="s">
        <v>13</v>
      </c>
      <c r="C35" s="3272"/>
      <c r="D35" s="653">
        <f t="shared" ref="D35:I35" si="55">+D323+D418</f>
        <v>14714497</v>
      </c>
      <c r="E35" s="654">
        <f t="shared" si="55"/>
        <v>2750633</v>
      </c>
      <c r="F35" s="654">
        <f t="shared" si="55"/>
        <v>8635187</v>
      </c>
      <c r="G35" s="654">
        <f t="shared" si="55"/>
        <v>3328677</v>
      </c>
      <c r="H35" s="655">
        <f t="shared" si="55"/>
        <v>0</v>
      </c>
      <c r="I35" s="656">
        <f t="shared" si="55"/>
        <v>14439930</v>
      </c>
      <c r="J35" s="659">
        <f t="shared" si="10"/>
        <v>98.13403747338424</v>
      </c>
      <c r="K35" s="658">
        <f>+K323+K418</f>
        <v>0</v>
      </c>
      <c r="L35" s="659">
        <f t="shared" si="6"/>
        <v>0</v>
      </c>
      <c r="M35" s="660">
        <f>+K35-G35</f>
        <v>-3328677</v>
      </c>
      <c r="N35" s="3267"/>
      <c r="O35" s="218"/>
    </row>
    <row r="36" spans="1:20" ht="13.5" thickBot="1" x14ac:dyDescent="0.25">
      <c r="A36" s="3265"/>
      <c r="B36" s="696" t="s">
        <v>14</v>
      </c>
      <c r="C36" s="3273"/>
      <c r="D36" s="697">
        <f t="shared" ref="D36:I36" si="56">+D53+D384</f>
        <v>471766606</v>
      </c>
      <c r="E36" s="698">
        <f t="shared" si="56"/>
        <v>161785404</v>
      </c>
      <c r="F36" s="698">
        <f t="shared" si="56"/>
        <v>109771411</v>
      </c>
      <c r="G36" s="698">
        <f t="shared" si="56"/>
        <v>145739791</v>
      </c>
      <c r="H36" s="699">
        <f t="shared" si="56"/>
        <v>54470000</v>
      </c>
      <c r="I36" s="700">
        <f t="shared" si="56"/>
        <v>286170829</v>
      </c>
      <c r="J36" s="701">
        <f t="shared" si="10"/>
        <v>60.659407715687273</v>
      </c>
      <c r="K36" s="700">
        <f>+K53+K384</f>
        <v>15088372</v>
      </c>
      <c r="L36" s="701">
        <f t="shared" si="6"/>
        <v>10.352952955723671</v>
      </c>
      <c r="M36" s="702">
        <f>+K36-G36</f>
        <v>-130651419</v>
      </c>
      <c r="N36" s="3268"/>
      <c r="O36" s="218"/>
    </row>
    <row r="37" spans="1:20" ht="18" customHeight="1" x14ac:dyDescent="0.2">
      <c r="A37" s="3192" t="s">
        <v>30</v>
      </c>
      <c r="B37" s="703" t="s">
        <v>31</v>
      </c>
      <c r="C37" s="704"/>
      <c r="D37" s="705"/>
      <c r="E37" s="706"/>
      <c r="F37" s="706"/>
      <c r="G37" s="706"/>
      <c r="H37" s="707"/>
      <c r="I37" s="708"/>
      <c r="J37" s="709"/>
      <c r="K37" s="706"/>
      <c r="L37" s="710"/>
      <c r="M37" s="711"/>
      <c r="N37" s="3232"/>
    </row>
    <row r="38" spans="1:20" ht="13.5" customHeight="1" x14ac:dyDescent="0.2">
      <c r="A38" s="3194"/>
      <c r="B38" s="712" t="s">
        <v>2</v>
      </c>
      <c r="C38" s="713"/>
      <c r="D38" s="221">
        <f t="shared" ref="D38:I38" si="57">+D39+D43</f>
        <v>525831522</v>
      </c>
      <c r="E38" s="222">
        <f>+E39+E43</f>
        <v>315162126</v>
      </c>
      <c r="F38" s="222">
        <f>+F39+F43</f>
        <v>97044741</v>
      </c>
      <c r="G38" s="222">
        <f t="shared" si="57"/>
        <v>105036224</v>
      </c>
      <c r="H38" s="223">
        <f t="shared" si="57"/>
        <v>8588431</v>
      </c>
      <c r="I38" s="714">
        <f t="shared" si="57"/>
        <v>424071113</v>
      </c>
      <c r="J38" s="307">
        <f>I38/D38*100</f>
        <v>80.647716094890171</v>
      </c>
      <c r="K38" s="714">
        <f>+K39+K43</f>
        <v>12721196</v>
      </c>
      <c r="L38" s="715">
        <f>K38/G38*100</f>
        <v>12.111246497208429</v>
      </c>
      <c r="M38" s="716">
        <f>+K38-G38</f>
        <v>-92315028</v>
      </c>
      <c r="N38" s="3233"/>
      <c r="O38" s="218"/>
      <c r="Q38" s="678"/>
      <c r="R38" s="218"/>
      <c r="T38" s="218"/>
    </row>
    <row r="39" spans="1:20" s="219" customFormat="1" ht="13.5" customHeight="1" x14ac:dyDescent="0.2">
      <c r="A39" s="3194"/>
      <c r="B39" s="717" t="s">
        <v>17</v>
      </c>
      <c r="C39" s="3221"/>
      <c r="D39" s="225">
        <f>+D40+D41+D42</f>
        <v>200332916</v>
      </c>
      <c r="E39" s="226">
        <f>+E40+E41+E42</f>
        <v>129831863</v>
      </c>
      <c r="F39" s="226">
        <f>+F40+F41+F42</f>
        <v>27137598</v>
      </c>
      <c r="G39" s="226">
        <f t="shared" ref="G39:I39" si="58">+G40+G41+G42</f>
        <v>38525024</v>
      </c>
      <c r="H39" s="227">
        <f t="shared" si="58"/>
        <v>4838431</v>
      </c>
      <c r="I39" s="718">
        <f t="shared" si="58"/>
        <v>161253006</v>
      </c>
      <c r="J39" s="719">
        <f t="shared" ref="J39:J53" si="59">I39/D39*100</f>
        <v>80.492516766440914</v>
      </c>
      <c r="K39" s="718">
        <f>+K40+K41+K42</f>
        <v>4744576</v>
      </c>
      <c r="L39" s="720">
        <f t="shared" ref="L39:L53" si="60">K39/G39*100</f>
        <v>12.315569225862131</v>
      </c>
      <c r="M39" s="721">
        <f>+K39-G39</f>
        <v>-33780448</v>
      </c>
      <c r="N39" s="3233"/>
      <c r="O39" s="218"/>
    </row>
    <row r="40" spans="1:20" ht="13.5" customHeight="1" x14ac:dyDescent="0.2">
      <c r="A40" s="3194"/>
      <c r="B40" s="722" t="s">
        <v>4</v>
      </c>
      <c r="C40" s="3221"/>
      <c r="D40" s="723">
        <f>+D159+D168+D57+D71+D87+D180+D192+D204+D101+D213+D225+D234+D246++D257+D117+D133+D266+D147+D275+D284+D293+D309</f>
        <v>107298972</v>
      </c>
      <c r="E40" s="229">
        <f>+E159+E168+E57+E71+E87+E180+E192+E204+E101+E213+E225+E234+E246++E257+E117+E133+E266+E147+E275+E284+E293+E309</f>
        <v>39627247</v>
      </c>
      <c r="F40" s="229">
        <f>+F159+F168+F57+F71+F87+F180+F192+F204+F101+F213+F225+F234+F246++F257+F117+F133+F266+F147+F275+F284+F293+F309</f>
        <v>25766102</v>
      </c>
      <c r="G40" s="229">
        <f t="shared" ref="G40:K40" si="61">+G159+G168+G57+G71+G87+G180+G192+G204+G101+G213+G225+G234+G246++G257+G117+G133+G266+G147+G275+G284+G293+G309</f>
        <v>37067192</v>
      </c>
      <c r="H40" s="724">
        <f t="shared" si="61"/>
        <v>4838431</v>
      </c>
      <c r="I40" s="228">
        <f t="shared" si="61"/>
        <v>69535497</v>
      </c>
      <c r="J40" s="725">
        <f t="shared" si="59"/>
        <v>64.805371108308478</v>
      </c>
      <c r="K40" s="724">
        <f t="shared" si="61"/>
        <v>4602617</v>
      </c>
      <c r="L40" s="726">
        <f t="shared" si="60"/>
        <v>12.416956212922738</v>
      </c>
      <c r="M40" s="727">
        <f>+K40-G40</f>
        <v>-32464575</v>
      </c>
      <c r="N40" s="3233"/>
      <c r="O40" s="218"/>
      <c r="R40" s="218"/>
      <c r="S40" s="218"/>
      <c r="T40" s="218"/>
    </row>
    <row r="41" spans="1:20" ht="13.5" customHeight="1" x14ac:dyDescent="0.2">
      <c r="A41" s="3194"/>
      <c r="B41" s="728" t="s">
        <v>9</v>
      </c>
      <c r="C41" s="3221"/>
      <c r="D41" s="228">
        <f t="shared" ref="D41:I41" si="62">+D169+D181+D193+D214+D72+D235+D118+D102</f>
        <v>18002944</v>
      </c>
      <c r="E41" s="229">
        <f t="shared" si="62"/>
        <v>18002944</v>
      </c>
      <c r="F41" s="229">
        <f t="shared" si="62"/>
        <v>0</v>
      </c>
      <c r="G41" s="229">
        <f t="shared" si="62"/>
        <v>0</v>
      </c>
      <c r="H41" s="230">
        <f t="shared" si="62"/>
        <v>0</v>
      </c>
      <c r="I41" s="724">
        <f t="shared" si="62"/>
        <v>18002944</v>
      </c>
      <c r="J41" s="725">
        <f t="shared" si="59"/>
        <v>100</v>
      </c>
      <c r="K41" s="729">
        <f>+K169+K181+K193+K214+K72+K235+K118+K102</f>
        <v>0</v>
      </c>
      <c r="L41" s="729">
        <v>0</v>
      </c>
      <c r="M41" s="727">
        <f t="shared" ref="M41:M42" si="63">+K41-G41</f>
        <v>0</v>
      </c>
      <c r="N41" s="3233"/>
      <c r="O41" s="218"/>
    </row>
    <row r="42" spans="1:20" ht="13.5" customHeight="1" x14ac:dyDescent="0.2">
      <c r="A42" s="3194"/>
      <c r="B42" s="728" t="s">
        <v>11</v>
      </c>
      <c r="C42" s="3221"/>
      <c r="D42" s="228">
        <f>D58+D73+D88+D103+D119+D134+D148</f>
        <v>75031000</v>
      </c>
      <c r="E42" s="229">
        <f t="shared" ref="E42:K42" si="64">E58+E73+E88+E103+E119+E134+E148</f>
        <v>72201672</v>
      </c>
      <c r="F42" s="229">
        <f>F58+F73+F88+F103+F119+F134+F148</f>
        <v>1371496</v>
      </c>
      <c r="G42" s="229">
        <f t="shared" si="64"/>
        <v>1457832</v>
      </c>
      <c r="H42" s="230">
        <f>H58+H73+H88+H103+H119+H134+H148</f>
        <v>0</v>
      </c>
      <c r="I42" s="724">
        <f>I58+I73+I88+I103+I119+I134+I148</f>
        <v>73714565</v>
      </c>
      <c r="J42" s="725">
        <f t="shared" si="59"/>
        <v>98.245478535538638</v>
      </c>
      <c r="K42" s="724">
        <f t="shared" si="64"/>
        <v>141959</v>
      </c>
      <c r="L42" s="726">
        <f t="shared" si="60"/>
        <v>9.7376789643799846</v>
      </c>
      <c r="M42" s="727">
        <f t="shared" si="63"/>
        <v>-1315873</v>
      </c>
      <c r="N42" s="3233"/>
      <c r="O42" s="218"/>
    </row>
    <row r="43" spans="1:20" s="219" customFormat="1" ht="13.5" customHeight="1" x14ac:dyDescent="0.2">
      <c r="A43" s="3194"/>
      <c r="B43" s="730" t="s">
        <v>12</v>
      </c>
      <c r="C43" s="3221"/>
      <c r="D43" s="225">
        <f t="shared" ref="D43:I43" si="65">+D44+D45</f>
        <v>325498606</v>
      </c>
      <c r="E43" s="226">
        <f t="shared" si="65"/>
        <v>185330263</v>
      </c>
      <c r="F43" s="226">
        <f t="shared" si="65"/>
        <v>69907143</v>
      </c>
      <c r="G43" s="226">
        <f t="shared" si="65"/>
        <v>66511200</v>
      </c>
      <c r="H43" s="227">
        <f t="shared" si="65"/>
        <v>3750000</v>
      </c>
      <c r="I43" s="718">
        <f t="shared" si="65"/>
        <v>262818107</v>
      </c>
      <c r="J43" s="719">
        <f t="shared" si="59"/>
        <v>80.74323580974108</v>
      </c>
      <c r="K43" s="718">
        <f>+K44+K45</f>
        <v>7976620</v>
      </c>
      <c r="L43" s="720">
        <f t="shared" si="60"/>
        <v>11.992897436822672</v>
      </c>
      <c r="M43" s="721">
        <f>+K43-G43</f>
        <v>-58534580</v>
      </c>
      <c r="N43" s="3233"/>
      <c r="O43" s="218"/>
    </row>
    <row r="44" spans="1:20" s="219" customFormat="1" ht="13.5" hidden="1" customHeight="1" x14ac:dyDescent="0.2">
      <c r="A44" s="3194"/>
      <c r="B44" s="728" t="s">
        <v>11</v>
      </c>
      <c r="C44" s="3221"/>
      <c r="D44" s="731">
        <f t="shared" ref="D44:I44" si="66">+D60+D75+D90+D105+D121+D136</f>
        <v>0</v>
      </c>
      <c r="E44" s="732">
        <f t="shared" si="66"/>
        <v>0</v>
      </c>
      <c r="F44" s="732">
        <f t="shared" si="66"/>
        <v>0</v>
      </c>
      <c r="G44" s="732">
        <f t="shared" si="66"/>
        <v>0</v>
      </c>
      <c r="H44" s="733">
        <f t="shared" si="66"/>
        <v>0</v>
      </c>
      <c r="I44" s="734">
        <f t="shared" si="66"/>
        <v>0</v>
      </c>
      <c r="J44" s="719" t="e">
        <f t="shared" si="59"/>
        <v>#DIV/0!</v>
      </c>
      <c r="K44" s="734">
        <f>+K60+K75+K90+K105+K121+K136</f>
        <v>0</v>
      </c>
      <c r="L44" s="734" t="e">
        <f t="shared" si="60"/>
        <v>#DIV/0!</v>
      </c>
      <c r="M44" s="735">
        <f t="shared" ref="M44:M52" si="67">+K44-G44*0.5</f>
        <v>0</v>
      </c>
      <c r="N44" s="3233"/>
      <c r="O44" s="218"/>
    </row>
    <row r="45" spans="1:20" ht="13.5" customHeight="1" x14ac:dyDescent="0.2">
      <c r="A45" s="3194"/>
      <c r="B45" s="722" t="s">
        <v>14</v>
      </c>
      <c r="C45" s="3221"/>
      <c r="D45" s="736">
        <f>+D161+D171+D61+D76+D91+D183+D195+D206+D106+D216+D227+D237+D248+D259+D122+D137+D268+D150+D277+D286+D295+D302+D311</f>
        <v>325498606</v>
      </c>
      <c r="E45" s="737">
        <f t="shared" ref="E45:K45" si="68">+E161+E171+E61+E76+E91+E183+E195+E206+E106+E216+E227+E237+E248+E259+E122+E137+E268+E150+E277+E286+E295+E302+E311</f>
        <v>185330263</v>
      </c>
      <c r="F45" s="737">
        <f t="shared" si="68"/>
        <v>69907143</v>
      </c>
      <c r="G45" s="737">
        <f t="shared" si="68"/>
        <v>66511200</v>
      </c>
      <c r="H45" s="738">
        <f t="shared" si="68"/>
        <v>3750000</v>
      </c>
      <c r="I45" s="739">
        <f t="shared" si="68"/>
        <v>262818107</v>
      </c>
      <c r="J45" s="725">
        <f t="shared" si="59"/>
        <v>80.74323580974108</v>
      </c>
      <c r="K45" s="738">
        <f t="shared" si="68"/>
        <v>7976620</v>
      </c>
      <c r="L45" s="740">
        <f t="shared" si="60"/>
        <v>11.992897436822672</v>
      </c>
      <c r="M45" s="727">
        <f t="shared" ref="M45" si="69">+K45-G45</f>
        <v>-58534580</v>
      </c>
      <c r="N45" s="3233"/>
      <c r="O45" s="218"/>
      <c r="Q45" s="218"/>
    </row>
    <row r="46" spans="1:20" ht="13.5" customHeight="1" x14ac:dyDescent="0.2">
      <c r="A46" s="3194"/>
      <c r="B46" s="220" t="s">
        <v>16</v>
      </c>
      <c r="C46" s="741"/>
      <c r="D46" s="233">
        <f t="shared" ref="D46:I46" si="70">+D47+D51</f>
        <v>419374031</v>
      </c>
      <c r="E46" s="234">
        <f t="shared" si="70"/>
        <v>244441228</v>
      </c>
      <c r="F46" s="234">
        <f t="shared" si="70"/>
        <v>81592889</v>
      </c>
      <c r="G46" s="234">
        <f>+G47+G51</f>
        <v>87589914</v>
      </c>
      <c r="H46" s="235">
        <f t="shared" si="70"/>
        <v>5750000</v>
      </c>
      <c r="I46" s="742">
        <f t="shared" si="70"/>
        <v>341671251</v>
      </c>
      <c r="J46" s="743">
        <f t="shared" si="59"/>
        <v>81.471723507839229</v>
      </c>
      <c r="K46" s="742">
        <f>+K47+K51</f>
        <v>15088372</v>
      </c>
      <c r="L46" s="715">
        <f t="shared" si="60"/>
        <v>17.226152317035041</v>
      </c>
      <c r="M46" s="744">
        <f>+K46-G46</f>
        <v>-72501542</v>
      </c>
      <c r="N46" s="3233"/>
      <c r="O46" s="218"/>
      <c r="Q46" s="678"/>
    </row>
    <row r="47" spans="1:20" ht="13.5" customHeight="1" x14ac:dyDescent="0.2">
      <c r="A47" s="3194"/>
      <c r="B47" s="745" t="s">
        <v>17</v>
      </c>
      <c r="C47" s="3221"/>
      <c r="D47" s="746">
        <f>+D48+D49+D50</f>
        <v>93875425</v>
      </c>
      <c r="E47" s="747">
        <f t="shared" ref="E47:I47" si="71">+E48+E49+E50</f>
        <v>82655824</v>
      </c>
      <c r="F47" s="748">
        <f t="shared" si="71"/>
        <v>8361478</v>
      </c>
      <c r="G47" s="749">
        <f>+G48+G49+G50</f>
        <v>2858123</v>
      </c>
      <c r="H47" s="749">
        <f t="shared" si="71"/>
        <v>0</v>
      </c>
      <c r="I47" s="750">
        <f t="shared" si="71"/>
        <v>91017302</v>
      </c>
      <c r="J47" s="382">
        <f t="shared" si="59"/>
        <v>96.955408723848663</v>
      </c>
      <c r="K47" s="749">
        <f>+K48+K49+K50</f>
        <v>0</v>
      </c>
      <c r="L47" s="720">
        <f t="shared" si="60"/>
        <v>0</v>
      </c>
      <c r="M47" s="751">
        <f>+K47-G47</f>
        <v>-2858123</v>
      </c>
      <c r="N47" s="3233"/>
      <c r="O47" s="218"/>
    </row>
    <row r="48" spans="1:20" ht="13.5" customHeight="1" x14ac:dyDescent="0.2">
      <c r="A48" s="3194"/>
      <c r="B48" s="752" t="s">
        <v>9</v>
      </c>
      <c r="C48" s="3221"/>
      <c r="D48" s="739">
        <f t="shared" ref="D48:I48" si="72">+D174+D186+D198+D219+D240+D79+D125+D109</f>
        <v>18002944</v>
      </c>
      <c r="E48" s="737">
        <f t="shared" si="72"/>
        <v>16013080</v>
      </c>
      <c r="F48" s="737">
        <f t="shared" si="72"/>
        <v>1989864</v>
      </c>
      <c r="G48" s="737">
        <f t="shared" si="72"/>
        <v>0</v>
      </c>
      <c r="H48" s="753">
        <f t="shared" si="72"/>
        <v>0</v>
      </c>
      <c r="I48" s="738">
        <f t="shared" si="72"/>
        <v>18002944</v>
      </c>
      <c r="J48" s="381">
        <f t="shared" si="59"/>
        <v>100</v>
      </c>
      <c r="K48" s="738">
        <f>+K174+K186+K198+K219+K240+K79+K125+K109</f>
        <v>0</v>
      </c>
      <c r="L48" s="729">
        <v>0</v>
      </c>
      <c r="M48" s="727">
        <f t="shared" ref="M48:M50" si="73">+K48-G48</f>
        <v>0</v>
      </c>
      <c r="N48" s="3233"/>
      <c r="O48" s="218"/>
    </row>
    <row r="49" spans="1:17" ht="13.5" customHeight="1" x14ac:dyDescent="0.2">
      <c r="A49" s="3194"/>
      <c r="B49" s="728" t="s">
        <v>11</v>
      </c>
      <c r="C49" s="3221"/>
      <c r="D49" s="739">
        <f t="shared" ref="D49:I49" si="74">D64+D80+D94+D110+D126+D140+D153</f>
        <v>75031000</v>
      </c>
      <c r="E49" s="737">
        <f t="shared" si="74"/>
        <v>66642744</v>
      </c>
      <c r="F49" s="737">
        <f t="shared" si="74"/>
        <v>5530133</v>
      </c>
      <c r="G49" s="737">
        <f t="shared" si="74"/>
        <v>2858123</v>
      </c>
      <c r="H49" s="753">
        <f t="shared" si="74"/>
        <v>0</v>
      </c>
      <c r="I49" s="754">
        <f t="shared" si="74"/>
        <v>72172877</v>
      </c>
      <c r="J49" s="381">
        <f t="shared" si="59"/>
        <v>96.190743825885306</v>
      </c>
      <c r="K49" s="738">
        <f>K64+K80+K94+K110+K126+K140+K153</f>
        <v>0</v>
      </c>
      <c r="L49" s="726">
        <f t="shared" si="60"/>
        <v>0</v>
      </c>
      <c r="M49" s="727">
        <f t="shared" si="73"/>
        <v>-2858123</v>
      </c>
      <c r="N49" s="3233"/>
      <c r="O49" s="218"/>
      <c r="Q49" s="218"/>
    </row>
    <row r="50" spans="1:17" ht="25.5" x14ac:dyDescent="0.2">
      <c r="A50" s="3194"/>
      <c r="B50" s="755" t="s">
        <v>299</v>
      </c>
      <c r="C50" s="3221"/>
      <c r="D50" s="736">
        <f>+D251</f>
        <v>841481</v>
      </c>
      <c r="E50" s="737">
        <f>+E251</f>
        <v>0</v>
      </c>
      <c r="F50" s="737">
        <f t="shared" ref="F50:K50" si="75">+F251</f>
        <v>841481</v>
      </c>
      <c r="G50" s="737">
        <f t="shared" si="75"/>
        <v>0</v>
      </c>
      <c r="H50" s="738">
        <f t="shared" si="75"/>
        <v>0</v>
      </c>
      <c r="I50" s="739">
        <f t="shared" si="75"/>
        <v>841481</v>
      </c>
      <c r="J50" s="381">
        <f t="shared" si="59"/>
        <v>100</v>
      </c>
      <c r="K50" s="738">
        <f t="shared" si="75"/>
        <v>0</v>
      </c>
      <c r="L50" s="729">
        <v>0</v>
      </c>
      <c r="M50" s="727">
        <f t="shared" si="73"/>
        <v>0</v>
      </c>
      <c r="N50" s="3233"/>
      <c r="O50" s="218"/>
    </row>
    <row r="51" spans="1:17" ht="12" customHeight="1" x14ac:dyDescent="0.2">
      <c r="A51" s="3194"/>
      <c r="B51" s="756" t="s">
        <v>12</v>
      </c>
      <c r="C51" s="3221"/>
      <c r="D51" s="750">
        <f t="shared" ref="D51:I51" si="76">+D52+D53</f>
        <v>325498606</v>
      </c>
      <c r="E51" s="748">
        <f t="shared" si="76"/>
        <v>161785404</v>
      </c>
      <c r="F51" s="748">
        <f t="shared" si="76"/>
        <v>73231411</v>
      </c>
      <c r="G51" s="748">
        <f t="shared" si="76"/>
        <v>84731791</v>
      </c>
      <c r="H51" s="757">
        <f t="shared" si="76"/>
        <v>5750000</v>
      </c>
      <c r="I51" s="749">
        <f t="shared" si="76"/>
        <v>250653949</v>
      </c>
      <c r="J51" s="758">
        <f t="shared" si="59"/>
        <v>77.00615129516099</v>
      </c>
      <c r="K51" s="748">
        <f>+K52+K53</f>
        <v>15088372</v>
      </c>
      <c r="L51" s="726">
        <f t="shared" si="60"/>
        <v>17.807214767831354</v>
      </c>
      <c r="M51" s="751">
        <f>+K51-G51</f>
        <v>-69643419</v>
      </c>
      <c r="N51" s="3233"/>
      <c r="O51" s="218"/>
    </row>
    <row r="52" spans="1:17" ht="12" hidden="1" customHeight="1" x14ac:dyDescent="0.2">
      <c r="A52" s="3194"/>
      <c r="B52" s="728" t="s">
        <v>11</v>
      </c>
      <c r="C52" s="3221"/>
      <c r="D52" s="731">
        <f t="shared" ref="D52:I52" si="77">+D66+D82+D96+D112+D128+D142</f>
        <v>0</v>
      </c>
      <c r="E52" s="732">
        <f t="shared" si="77"/>
        <v>0</v>
      </c>
      <c r="F52" s="732">
        <f t="shared" si="77"/>
        <v>0</v>
      </c>
      <c r="G52" s="732">
        <f t="shared" si="77"/>
        <v>0</v>
      </c>
      <c r="H52" s="733">
        <f t="shared" si="77"/>
        <v>0</v>
      </c>
      <c r="I52" s="734">
        <f t="shared" si="77"/>
        <v>0</v>
      </c>
      <c r="J52" s="758" t="e">
        <f t="shared" si="59"/>
        <v>#DIV/0!</v>
      </c>
      <c r="K52" s="732">
        <f>+K66+K82+K96+K112+K128+K142</f>
        <v>0</v>
      </c>
      <c r="L52" s="719" t="e">
        <f t="shared" si="60"/>
        <v>#DIV/0!</v>
      </c>
      <c r="M52" s="735">
        <f t="shared" si="67"/>
        <v>0</v>
      </c>
      <c r="N52" s="3233"/>
      <c r="O52" s="218"/>
    </row>
    <row r="53" spans="1:17" ht="13.5" customHeight="1" thickBot="1" x14ac:dyDescent="0.25">
      <c r="A53" s="3195"/>
      <c r="B53" s="759" t="s">
        <v>14</v>
      </c>
      <c r="C53" s="3222"/>
      <c r="D53" s="760">
        <f>+D164+D176+D67+D83+D97+D188+D200+D209+D113+D221+D230++D242+D253+D262+D129+D143+D271+D155+D280+D289+D298+D305+D314</f>
        <v>325498606</v>
      </c>
      <c r="E53" s="761">
        <f t="shared" ref="E53:K53" si="78">+E164+E176+E67+E83+E97+E188+E200+E209+E113+E221+E230++E242+E253+E262+E129+E143+E271+E155+E280+E289+E298+E305+E314</f>
        <v>161785404</v>
      </c>
      <c r="F53" s="761">
        <f t="shared" si="78"/>
        <v>73231411</v>
      </c>
      <c r="G53" s="761">
        <f t="shared" si="78"/>
        <v>84731791</v>
      </c>
      <c r="H53" s="762">
        <f t="shared" si="78"/>
        <v>5750000</v>
      </c>
      <c r="I53" s="763">
        <f t="shared" si="78"/>
        <v>250653949</v>
      </c>
      <c r="J53" s="764">
        <f t="shared" si="59"/>
        <v>77.00615129516099</v>
      </c>
      <c r="K53" s="762">
        <f t="shared" si="78"/>
        <v>15088372</v>
      </c>
      <c r="L53" s="726">
        <f t="shared" si="60"/>
        <v>17.807214767831354</v>
      </c>
      <c r="M53" s="765">
        <f>+K53-G53</f>
        <v>-69643419</v>
      </c>
      <c r="N53" s="3234"/>
      <c r="O53" s="218"/>
    </row>
    <row r="54" spans="1:17" ht="27.75" customHeight="1" x14ac:dyDescent="0.2">
      <c r="A54" s="3130" t="s">
        <v>32</v>
      </c>
      <c r="B54" s="766" t="s">
        <v>237</v>
      </c>
      <c r="C54" s="236" t="s">
        <v>166</v>
      </c>
      <c r="D54" s="237"/>
      <c r="E54" s="238"/>
      <c r="F54" s="238"/>
      <c r="G54" s="238"/>
      <c r="H54" s="239"/>
      <c r="I54" s="237"/>
      <c r="J54" s="767"/>
      <c r="K54" s="238"/>
      <c r="L54" s="768"/>
      <c r="M54" s="240"/>
      <c r="N54" s="769" t="s">
        <v>36</v>
      </c>
      <c r="O54" s="218"/>
    </row>
    <row r="55" spans="1:17" ht="15" customHeight="1" x14ac:dyDescent="0.2">
      <c r="A55" s="3131"/>
      <c r="B55" s="220" t="s">
        <v>2</v>
      </c>
      <c r="C55" s="25"/>
      <c r="D55" s="770">
        <f t="shared" ref="D55:I55" si="79">+D56+D59</f>
        <v>24394675</v>
      </c>
      <c r="E55" s="234">
        <f t="shared" si="79"/>
        <v>24333675</v>
      </c>
      <c r="F55" s="234">
        <f t="shared" si="79"/>
        <v>1000</v>
      </c>
      <c r="G55" s="234">
        <f t="shared" si="79"/>
        <v>60000</v>
      </c>
      <c r="H55" s="234">
        <f t="shared" si="79"/>
        <v>0</v>
      </c>
      <c r="I55" s="770">
        <f t="shared" si="79"/>
        <v>24342162</v>
      </c>
      <c r="J55" s="771">
        <f>I55/D55*100</f>
        <v>99.784735808122065</v>
      </c>
      <c r="K55" s="234">
        <f>+K56+K59</f>
        <v>7912</v>
      </c>
      <c r="L55" s="771">
        <f>K55/G55*100</f>
        <v>13.186666666666666</v>
      </c>
      <c r="M55" s="241">
        <f>+K55-G55</f>
        <v>-52088</v>
      </c>
      <c r="N55" s="3152" t="s">
        <v>37</v>
      </c>
      <c r="O55" s="218"/>
    </row>
    <row r="56" spans="1:17" ht="12.75" customHeight="1" x14ac:dyDescent="0.2">
      <c r="A56" s="3226"/>
      <c r="B56" s="242" t="s">
        <v>17</v>
      </c>
      <c r="C56" s="3100" t="s">
        <v>38</v>
      </c>
      <c r="D56" s="772">
        <f t="shared" ref="D56:I56" si="80">+D57+D58</f>
        <v>12834008</v>
      </c>
      <c r="E56" s="773">
        <f t="shared" si="80"/>
        <v>12773008</v>
      </c>
      <c r="F56" s="773">
        <f t="shared" si="80"/>
        <v>1000</v>
      </c>
      <c r="G56" s="773">
        <f t="shared" si="80"/>
        <v>60000</v>
      </c>
      <c r="H56" s="773">
        <f t="shared" si="80"/>
        <v>0</v>
      </c>
      <c r="I56" s="774">
        <f t="shared" si="80"/>
        <v>12781495</v>
      </c>
      <c r="J56" s="775">
        <f t="shared" ref="J56:J67" si="81">I56/D56*100</f>
        <v>99.59082930289587</v>
      </c>
      <c r="K56" s="776">
        <f>+K57+K58</f>
        <v>7912</v>
      </c>
      <c r="L56" s="777">
        <f t="shared" ref="L56:L112" si="82">K56/G56*100</f>
        <v>13.186666666666666</v>
      </c>
      <c r="M56" s="778">
        <f>+K56-G56</f>
        <v>-52088</v>
      </c>
      <c r="N56" s="3152"/>
      <c r="O56" s="218"/>
    </row>
    <row r="57" spans="1:17" ht="12.75" customHeight="1" x14ac:dyDescent="0.2">
      <c r="A57" s="3149"/>
      <c r="B57" s="243" t="s">
        <v>4</v>
      </c>
      <c r="C57" s="3101"/>
      <c r="D57" s="244">
        <f>+E57+F57+G57+H57</f>
        <v>1273340</v>
      </c>
      <c r="E57" s="245">
        <f>923+1211417</f>
        <v>1212340</v>
      </c>
      <c r="F57" s="779">
        <v>1000</v>
      </c>
      <c r="G57" s="779">
        <v>60000</v>
      </c>
      <c r="H57" s="779">
        <v>0</v>
      </c>
      <c r="I57" s="246">
        <f>E57+F57+K57-425</f>
        <v>1220827</v>
      </c>
      <c r="J57" s="780">
        <f t="shared" si="81"/>
        <v>95.875964000188489</v>
      </c>
      <c r="K57" s="779">
        <v>7912</v>
      </c>
      <c r="L57" s="781">
        <f t="shared" si="82"/>
        <v>13.186666666666666</v>
      </c>
      <c r="M57" s="247">
        <f>+K57-G57</f>
        <v>-52088</v>
      </c>
      <c r="N57" s="3152"/>
      <c r="O57" s="218"/>
    </row>
    <row r="58" spans="1:17" s="252" customFormat="1" ht="12.75" customHeight="1" x14ac:dyDescent="0.2">
      <c r="A58" s="3149"/>
      <c r="B58" s="243" t="s">
        <v>11</v>
      </c>
      <c r="C58" s="3101"/>
      <c r="D58" s="244">
        <f>++E58+F58+G58+H58</f>
        <v>11560668</v>
      </c>
      <c r="E58" s="779">
        <f>186148+298000+8788303+2288217</f>
        <v>11560668</v>
      </c>
      <c r="F58" s="779">
        <v>0</v>
      </c>
      <c r="G58" s="779">
        <v>0</v>
      </c>
      <c r="H58" s="248">
        <v>0</v>
      </c>
      <c r="I58" s="246">
        <f>E58+F58+K58</f>
        <v>11560668</v>
      </c>
      <c r="J58" s="780">
        <f t="shared" si="81"/>
        <v>100</v>
      </c>
      <c r="K58" s="250">
        <v>0</v>
      </c>
      <c r="L58" s="782">
        <v>0</v>
      </c>
      <c r="M58" s="247">
        <f>+K58-G58</f>
        <v>0</v>
      </c>
      <c r="N58" s="3152"/>
      <c r="O58" s="218"/>
    </row>
    <row r="59" spans="1:17" ht="12.75" customHeight="1" x14ac:dyDescent="0.2">
      <c r="A59" s="3149"/>
      <c r="B59" s="253" t="s">
        <v>12</v>
      </c>
      <c r="C59" s="3101"/>
      <c r="D59" s="254">
        <f>+D61+D60</f>
        <v>11560667</v>
      </c>
      <c r="E59" s="255">
        <f>+E60+E61</f>
        <v>11560667</v>
      </c>
      <c r="F59" s="255">
        <f>+F60+F61</f>
        <v>0</v>
      </c>
      <c r="G59" s="255">
        <f>+G60+G61</f>
        <v>0</v>
      </c>
      <c r="H59" s="256">
        <f>+H60+H61</f>
        <v>0</v>
      </c>
      <c r="I59" s="254">
        <f>+I60+I61</f>
        <v>11560667</v>
      </c>
      <c r="J59" s="26">
        <f t="shared" si="81"/>
        <v>100</v>
      </c>
      <c r="K59" s="257">
        <f>+K60+K61</f>
        <v>0</v>
      </c>
      <c r="L59" s="258">
        <v>0</v>
      </c>
      <c r="M59" s="259">
        <f>+K59-G59</f>
        <v>0</v>
      </c>
      <c r="N59" s="3152"/>
      <c r="O59" s="218"/>
    </row>
    <row r="60" spans="1:17" ht="12.75" hidden="1" customHeight="1" x14ac:dyDescent="0.2">
      <c r="A60" s="3149"/>
      <c r="B60" s="243" t="s">
        <v>11</v>
      </c>
      <c r="C60" s="3101"/>
      <c r="D60" s="783">
        <v>0</v>
      </c>
      <c r="E60" s="250">
        <v>0</v>
      </c>
      <c r="F60" s="250">
        <v>0</v>
      </c>
      <c r="G60" s="250">
        <v>0</v>
      </c>
      <c r="H60" s="248">
        <v>0</v>
      </c>
      <c r="I60" s="784">
        <v>0</v>
      </c>
      <c r="J60" s="260" t="e">
        <f t="shared" si="81"/>
        <v>#DIV/0!</v>
      </c>
      <c r="K60" s="250">
        <v>0</v>
      </c>
      <c r="L60" s="251" t="e">
        <f t="shared" si="82"/>
        <v>#DIV/0!</v>
      </c>
      <c r="M60" s="782">
        <f t="shared" ref="M60:M66" si="83">+K60-G60*0.5</f>
        <v>0</v>
      </c>
      <c r="N60" s="3152"/>
      <c r="O60" s="218"/>
    </row>
    <row r="61" spans="1:17" ht="12.75" customHeight="1" x14ac:dyDescent="0.2">
      <c r="A61" s="3149"/>
      <c r="B61" s="243" t="s">
        <v>14</v>
      </c>
      <c r="C61" s="3101"/>
      <c r="D61" s="244">
        <f>+E61+F61+G61+H61</f>
        <v>11560667</v>
      </c>
      <c r="E61" s="779">
        <f>364330+11196337</f>
        <v>11560667</v>
      </c>
      <c r="F61" s="779">
        <v>0</v>
      </c>
      <c r="G61" s="779">
        <v>0</v>
      </c>
      <c r="H61" s="248">
        <v>0</v>
      </c>
      <c r="I61" s="246">
        <f>E61+F61+K61</f>
        <v>11560667</v>
      </c>
      <c r="J61" s="249">
        <f>I61/D61*100</f>
        <v>100</v>
      </c>
      <c r="K61" s="250">
        <v>0</v>
      </c>
      <c r="L61" s="251">
        <v>0</v>
      </c>
      <c r="M61" s="247">
        <f>+K61-G61</f>
        <v>0</v>
      </c>
      <c r="N61" s="3213"/>
      <c r="O61" s="218"/>
    </row>
    <row r="62" spans="1:17" ht="12.75" customHeight="1" x14ac:dyDescent="0.2">
      <c r="A62" s="3227"/>
      <c r="B62" s="220" t="s">
        <v>16</v>
      </c>
      <c r="C62" s="25"/>
      <c r="D62" s="233">
        <f t="shared" ref="D62:I62" si="84">+D65+D63</f>
        <v>23121335</v>
      </c>
      <c r="E62" s="234">
        <f t="shared" si="84"/>
        <v>18146301</v>
      </c>
      <c r="F62" s="234">
        <f>+F65+F63</f>
        <v>4975034</v>
      </c>
      <c r="G62" s="234">
        <f t="shared" si="84"/>
        <v>0</v>
      </c>
      <c r="H62" s="261">
        <f t="shared" si="84"/>
        <v>0</v>
      </c>
      <c r="I62" s="233">
        <f t="shared" si="84"/>
        <v>23121335</v>
      </c>
      <c r="J62" s="743">
        <f t="shared" si="81"/>
        <v>100</v>
      </c>
      <c r="K62" s="234">
        <f>+K65+K63</f>
        <v>0</v>
      </c>
      <c r="L62" s="785">
        <v>0</v>
      </c>
      <c r="M62" s="241">
        <f>+K62-G62</f>
        <v>0</v>
      </c>
      <c r="N62" s="3102" t="s">
        <v>39</v>
      </c>
      <c r="O62" s="218"/>
    </row>
    <row r="63" spans="1:17" ht="12.75" customHeight="1" thickBot="1" x14ac:dyDescent="0.25">
      <c r="A63" s="3227"/>
      <c r="B63" s="786" t="s">
        <v>17</v>
      </c>
      <c r="C63" s="3154" t="s">
        <v>34</v>
      </c>
      <c r="D63" s="787">
        <f t="shared" ref="D63:I63" si="85">D64</f>
        <v>11560668</v>
      </c>
      <c r="E63" s="788">
        <f t="shared" si="85"/>
        <v>9272911</v>
      </c>
      <c r="F63" s="788">
        <f>F64</f>
        <v>2287757</v>
      </c>
      <c r="G63" s="788">
        <f t="shared" si="85"/>
        <v>0</v>
      </c>
      <c r="H63" s="789">
        <f t="shared" si="85"/>
        <v>0</v>
      </c>
      <c r="I63" s="790">
        <f t="shared" si="85"/>
        <v>11560668</v>
      </c>
      <c r="J63" s="780">
        <f t="shared" si="81"/>
        <v>100</v>
      </c>
      <c r="K63" s="255">
        <f>K64</f>
        <v>0</v>
      </c>
      <c r="L63" s="791">
        <v>0</v>
      </c>
      <c r="M63" s="792">
        <f>+K63-G63</f>
        <v>0</v>
      </c>
      <c r="N63" s="3103"/>
      <c r="O63" s="218"/>
    </row>
    <row r="64" spans="1:17" ht="12.75" customHeight="1" x14ac:dyDescent="0.2">
      <c r="A64" s="3227"/>
      <c r="B64" s="793" t="s">
        <v>11</v>
      </c>
      <c r="C64" s="3230"/>
      <c r="D64" s="244">
        <f>++E64+F64+G64+H64</f>
        <v>11560668</v>
      </c>
      <c r="E64" s="779">
        <f>6768575+2504336</f>
        <v>9272911</v>
      </c>
      <c r="F64" s="779">
        <v>2287757</v>
      </c>
      <c r="G64" s="779">
        <v>0</v>
      </c>
      <c r="H64" s="794">
        <v>0</v>
      </c>
      <c r="I64" s="246">
        <f>E64+F64+K64</f>
        <v>11560668</v>
      </c>
      <c r="J64" s="780">
        <f t="shared" si="81"/>
        <v>100</v>
      </c>
      <c r="K64" s="779"/>
      <c r="L64" s="791">
        <v>0</v>
      </c>
      <c r="M64" s="247">
        <f>+K64-G64</f>
        <v>0</v>
      </c>
      <c r="N64" s="3097"/>
      <c r="O64" s="218"/>
    </row>
    <row r="65" spans="1:15" ht="12.75" customHeight="1" x14ac:dyDescent="0.2">
      <c r="A65" s="3227"/>
      <c r="B65" s="795" t="s">
        <v>12</v>
      </c>
      <c r="C65" s="3100"/>
      <c r="D65" s="254">
        <f>+D67+D66</f>
        <v>11560667</v>
      </c>
      <c r="E65" s="255">
        <f>+E67+E66</f>
        <v>8873390</v>
      </c>
      <c r="F65" s="255">
        <f>+F67+F66</f>
        <v>2687277</v>
      </c>
      <c r="G65" s="255">
        <f>+G66+G67</f>
        <v>0</v>
      </c>
      <c r="H65" s="796">
        <f>+H66+H67</f>
        <v>0</v>
      </c>
      <c r="I65" s="254">
        <f>+I66+I67</f>
        <v>11560667</v>
      </c>
      <c r="J65" s="26">
        <f t="shared" si="81"/>
        <v>100</v>
      </c>
      <c r="K65" s="255">
        <f>+K67+K66</f>
        <v>0</v>
      </c>
      <c r="L65" s="797">
        <v>0</v>
      </c>
      <c r="M65" s="259">
        <f>+K65-G65</f>
        <v>0</v>
      </c>
      <c r="N65" s="3098"/>
      <c r="O65" s="218"/>
    </row>
    <row r="66" spans="1:15" ht="12.75" hidden="1" customHeight="1" x14ac:dyDescent="0.2">
      <c r="A66" s="3227"/>
      <c r="B66" s="793" t="s">
        <v>11</v>
      </c>
      <c r="C66" s="3100"/>
      <c r="D66" s="783">
        <v>0</v>
      </c>
      <c r="E66" s="250">
        <v>0</v>
      </c>
      <c r="F66" s="250">
        <v>0</v>
      </c>
      <c r="G66" s="250">
        <v>0</v>
      </c>
      <c r="H66" s="794">
        <v>0</v>
      </c>
      <c r="I66" s="784">
        <v>0</v>
      </c>
      <c r="J66" s="250" t="e">
        <f t="shared" si="81"/>
        <v>#DIV/0!</v>
      </c>
      <c r="K66" s="250">
        <v>0</v>
      </c>
      <c r="L66" s="791" t="e">
        <f t="shared" si="82"/>
        <v>#DIV/0!</v>
      </c>
      <c r="M66" s="782">
        <f t="shared" si="83"/>
        <v>0</v>
      </c>
      <c r="N66" s="3098"/>
      <c r="O66" s="218"/>
    </row>
    <row r="67" spans="1:15" ht="12.75" customHeight="1" thickBot="1" x14ac:dyDescent="0.25">
      <c r="A67" s="3228"/>
      <c r="B67" s="798" t="s">
        <v>14</v>
      </c>
      <c r="C67" s="3231"/>
      <c r="D67" s="262">
        <f>++E67+F67+G67+H67</f>
        <v>11560667</v>
      </c>
      <c r="E67" s="799">
        <v>8873390</v>
      </c>
      <c r="F67" s="263">
        <v>2687277</v>
      </c>
      <c r="G67" s="263">
        <v>0</v>
      </c>
      <c r="H67" s="800">
        <v>0</v>
      </c>
      <c r="I67" s="264">
        <f>E67+F67+K67</f>
        <v>11560667</v>
      </c>
      <c r="J67" s="801">
        <f t="shared" si="81"/>
        <v>100</v>
      </c>
      <c r="K67" s="263"/>
      <c r="L67" s="802">
        <v>0</v>
      </c>
      <c r="M67" s="265">
        <f>+K67-G67</f>
        <v>0</v>
      </c>
      <c r="N67" s="3103"/>
      <c r="O67" s="218"/>
    </row>
    <row r="68" spans="1:15" s="266" customFormat="1" ht="25.5" x14ac:dyDescent="0.2">
      <c r="A68" s="3148" t="s">
        <v>35</v>
      </c>
      <c r="B68" s="803" t="s">
        <v>238</v>
      </c>
      <c r="C68" s="236" t="s">
        <v>166</v>
      </c>
      <c r="D68" s="237"/>
      <c r="E68" s="238"/>
      <c r="F68" s="238"/>
      <c r="G68" s="238"/>
      <c r="H68" s="804"/>
      <c r="I68" s="237"/>
      <c r="J68" s="767"/>
      <c r="K68" s="238"/>
      <c r="L68" s="805"/>
      <c r="M68" s="240"/>
      <c r="N68" s="769" t="s">
        <v>36</v>
      </c>
      <c r="O68" s="218"/>
    </row>
    <row r="69" spans="1:15" s="266" customFormat="1" ht="12" customHeight="1" x14ac:dyDescent="0.2">
      <c r="A69" s="3149"/>
      <c r="B69" s="806" t="s">
        <v>2</v>
      </c>
      <c r="C69" s="25"/>
      <c r="D69" s="807">
        <f t="shared" ref="D69:H69" si="86">+D70+D74</f>
        <v>29082940</v>
      </c>
      <c r="E69" s="808">
        <f>+E70+E74</f>
        <v>29070870</v>
      </c>
      <c r="F69" s="808">
        <f>+F70+F74</f>
        <v>12070</v>
      </c>
      <c r="G69" s="808">
        <f t="shared" si="86"/>
        <v>0</v>
      </c>
      <c r="H69" s="809">
        <f t="shared" si="86"/>
        <v>0</v>
      </c>
      <c r="I69" s="807">
        <f>+I74+I70</f>
        <v>29082940</v>
      </c>
      <c r="J69" s="267">
        <f>I69/D69*100</f>
        <v>100</v>
      </c>
      <c r="K69" s="808">
        <f>+K70+K74</f>
        <v>0</v>
      </c>
      <c r="L69" s="810">
        <v>0</v>
      </c>
      <c r="M69" s="811">
        <f>+K69-G69</f>
        <v>0</v>
      </c>
      <c r="N69" s="3191" t="s">
        <v>37</v>
      </c>
      <c r="O69" s="218"/>
    </row>
    <row r="70" spans="1:15" s="266" customFormat="1" ht="12" customHeight="1" x14ac:dyDescent="0.2">
      <c r="A70" s="3149"/>
      <c r="B70" s="786" t="s">
        <v>17</v>
      </c>
      <c r="C70" s="3100" t="s">
        <v>38</v>
      </c>
      <c r="D70" s="812">
        <f>+D71+D73+D72</f>
        <v>14696626</v>
      </c>
      <c r="E70" s="255">
        <f>+E73+E71+E72</f>
        <v>14684556</v>
      </c>
      <c r="F70" s="255">
        <f>+F71+F73+F72</f>
        <v>12070</v>
      </c>
      <c r="G70" s="813">
        <f>+G71+G73+G72</f>
        <v>0</v>
      </c>
      <c r="H70" s="796">
        <f>+H71+H73</f>
        <v>0</v>
      </c>
      <c r="I70" s="812">
        <f>+I71+I73+I72</f>
        <v>14696626</v>
      </c>
      <c r="J70" s="26">
        <f t="shared" ref="J70:J82" si="87">I70/D70*100</f>
        <v>100</v>
      </c>
      <c r="K70" s="813">
        <f>+K71+K73+K72</f>
        <v>0</v>
      </c>
      <c r="L70" s="797">
        <v>0</v>
      </c>
      <c r="M70" s="814">
        <f>+K70-G70</f>
        <v>0</v>
      </c>
      <c r="N70" s="3187"/>
      <c r="O70" s="218"/>
    </row>
    <row r="71" spans="1:15" s="266" customFormat="1" ht="12.75" customHeight="1" x14ac:dyDescent="0.2">
      <c r="A71" s="3149"/>
      <c r="B71" s="793" t="s">
        <v>4</v>
      </c>
      <c r="C71" s="3101"/>
      <c r="D71" s="244">
        <f>+E71+F71+G71+H71</f>
        <v>95218</v>
      </c>
      <c r="E71" s="245">
        <f>5076+78072</f>
        <v>83148</v>
      </c>
      <c r="F71" s="245">
        <v>12070</v>
      </c>
      <c r="G71" s="245">
        <v>0</v>
      </c>
      <c r="H71" s="794">
        <v>0</v>
      </c>
      <c r="I71" s="246">
        <f>E71+F71+K71</f>
        <v>95218</v>
      </c>
      <c r="J71" s="780">
        <f t="shared" si="87"/>
        <v>100</v>
      </c>
      <c r="K71" s="779">
        <v>0</v>
      </c>
      <c r="L71" s="782">
        <v>0</v>
      </c>
      <c r="M71" s="247">
        <f>+K71-G71</f>
        <v>0</v>
      </c>
      <c r="N71" s="3187"/>
      <c r="O71" s="218"/>
    </row>
    <row r="72" spans="1:15" s="266" customFormat="1" ht="12.75" customHeight="1" x14ac:dyDescent="0.2">
      <c r="A72" s="3149"/>
      <c r="B72" s="793" t="s">
        <v>9</v>
      </c>
      <c r="C72" s="3101"/>
      <c r="D72" s="244">
        <f>+E72+F72+G72+H72</f>
        <v>215095</v>
      </c>
      <c r="E72" s="245">
        <f>110000+105095</f>
        <v>215095</v>
      </c>
      <c r="F72" s="245">
        <v>0</v>
      </c>
      <c r="G72" s="245">
        <v>0</v>
      </c>
      <c r="H72" s="815">
        <v>0</v>
      </c>
      <c r="I72" s="246">
        <f>E72+F72+K72</f>
        <v>215095</v>
      </c>
      <c r="J72" s="249">
        <f>I72/D72*100</f>
        <v>100</v>
      </c>
      <c r="K72" s="260">
        <v>0</v>
      </c>
      <c r="L72" s="251">
        <v>0</v>
      </c>
      <c r="M72" s="247">
        <f>+K72-G72</f>
        <v>0</v>
      </c>
      <c r="N72" s="3187"/>
      <c r="O72" s="218"/>
    </row>
    <row r="73" spans="1:15" s="268" customFormat="1" ht="12.75" customHeight="1" x14ac:dyDescent="0.2">
      <c r="A73" s="3149"/>
      <c r="B73" s="793" t="s">
        <v>11</v>
      </c>
      <c r="C73" s="3101"/>
      <c r="D73" s="244">
        <f>++E73+F73+G73+H73</f>
        <v>14386313</v>
      </c>
      <c r="E73" s="779">
        <f>118878+77968+8289467+5900000</f>
        <v>14386313</v>
      </c>
      <c r="F73" s="245">
        <v>0</v>
      </c>
      <c r="G73" s="245">
        <v>0</v>
      </c>
      <c r="H73" s="815">
        <v>0</v>
      </c>
      <c r="I73" s="246">
        <f>E73+F73+K73</f>
        <v>14386313</v>
      </c>
      <c r="J73" s="780">
        <f t="shared" si="87"/>
        <v>100</v>
      </c>
      <c r="K73" s="260">
        <v>0</v>
      </c>
      <c r="L73" s="782">
        <v>0</v>
      </c>
      <c r="M73" s="247">
        <f>+K73-G73</f>
        <v>0</v>
      </c>
      <c r="N73" s="3187"/>
      <c r="O73" s="218"/>
    </row>
    <row r="74" spans="1:15" s="266" customFormat="1" ht="12.75" customHeight="1" x14ac:dyDescent="0.2">
      <c r="A74" s="3149"/>
      <c r="B74" s="795" t="s">
        <v>12</v>
      </c>
      <c r="C74" s="3101"/>
      <c r="D74" s="254">
        <f>+D76+D75</f>
        <v>14386314</v>
      </c>
      <c r="E74" s="255">
        <f>+E76+E75</f>
        <v>14386314</v>
      </c>
      <c r="F74" s="255">
        <f>+F76+F75</f>
        <v>0</v>
      </c>
      <c r="G74" s="255">
        <f>+G75+G76</f>
        <v>0</v>
      </c>
      <c r="H74" s="816">
        <f>+H76+H75</f>
        <v>0</v>
      </c>
      <c r="I74" s="254">
        <f>+I75+I76</f>
        <v>14386314</v>
      </c>
      <c r="J74" s="26">
        <f t="shared" si="87"/>
        <v>100</v>
      </c>
      <c r="K74" s="257">
        <f>+K76+K75</f>
        <v>0</v>
      </c>
      <c r="L74" s="258">
        <v>0</v>
      </c>
      <c r="M74" s="259">
        <f t="shared" ref="M74:M122" si="88">+K74-G74*0.5</f>
        <v>0</v>
      </c>
      <c r="N74" s="3187"/>
      <c r="O74" s="218"/>
    </row>
    <row r="75" spans="1:15" s="266" customFormat="1" ht="12.75" hidden="1" customHeight="1" x14ac:dyDescent="0.2">
      <c r="A75" s="3149"/>
      <c r="B75" s="793" t="s">
        <v>11</v>
      </c>
      <c r="C75" s="3104"/>
      <c r="D75" s="817">
        <f>+E75+F75+G75+H75</f>
        <v>0</v>
      </c>
      <c r="E75" s="818">
        <v>0</v>
      </c>
      <c r="F75" s="819">
        <v>0</v>
      </c>
      <c r="G75" s="819">
        <v>0</v>
      </c>
      <c r="H75" s="815">
        <v>0</v>
      </c>
      <c r="I75" s="784">
        <f>E75+F75+K75</f>
        <v>0</v>
      </c>
      <c r="J75" s="780" t="e">
        <f t="shared" si="87"/>
        <v>#DIV/0!</v>
      </c>
      <c r="K75" s="260">
        <v>0</v>
      </c>
      <c r="L75" s="782" t="e">
        <f t="shared" si="82"/>
        <v>#DIV/0!</v>
      </c>
      <c r="M75" s="782">
        <f t="shared" si="88"/>
        <v>0</v>
      </c>
      <c r="N75" s="3187"/>
      <c r="O75" s="218"/>
    </row>
    <row r="76" spans="1:15" s="266" customFormat="1" ht="12.75" customHeight="1" x14ac:dyDescent="0.2">
      <c r="A76" s="3149"/>
      <c r="B76" s="243" t="s">
        <v>14</v>
      </c>
      <c r="C76" s="820"/>
      <c r="D76" s="821">
        <f>++E76+F76+G76+H76</f>
        <v>14386314</v>
      </c>
      <c r="E76" s="822">
        <f>118878+77968+7115950+7073518</f>
        <v>14386314</v>
      </c>
      <c r="F76" s="822">
        <v>0</v>
      </c>
      <c r="G76" s="822">
        <v>0</v>
      </c>
      <c r="H76" s="815">
        <v>0</v>
      </c>
      <c r="I76" s="246">
        <f>E76+F76+K76</f>
        <v>14386314</v>
      </c>
      <c r="J76" s="249">
        <f t="shared" si="87"/>
        <v>100</v>
      </c>
      <c r="K76" s="260">
        <v>0</v>
      </c>
      <c r="L76" s="251">
        <v>0</v>
      </c>
      <c r="M76" s="247">
        <f t="shared" ref="M76:M81" si="89">+K76-G76</f>
        <v>0</v>
      </c>
      <c r="N76" s="3187"/>
      <c r="O76" s="218"/>
    </row>
    <row r="77" spans="1:15" s="266" customFormat="1" ht="12.75" customHeight="1" thickBot="1" x14ac:dyDescent="0.25">
      <c r="A77" s="3227"/>
      <c r="B77" s="220" t="s">
        <v>16</v>
      </c>
      <c r="C77" s="823"/>
      <c r="D77" s="233">
        <f t="shared" ref="D77:H77" si="90">+D81+D78</f>
        <v>28987722</v>
      </c>
      <c r="E77" s="234">
        <f t="shared" si="90"/>
        <v>27466361</v>
      </c>
      <c r="F77" s="234">
        <f>+F81+F78</f>
        <v>1521361</v>
      </c>
      <c r="G77" s="234">
        <f t="shared" si="90"/>
        <v>0</v>
      </c>
      <c r="H77" s="261">
        <f t="shared" si="90"/>
        <v>0</v>
      </c>
      <c r="I77" s="233">
        <f>+I81+I78</f>
        <v>28987722</v>
      </c>
      <c r="J77" s="743">
        <f t="shared" si="87"/>
        <v>100</v>
      </c>
      <c r="K77" s="234">
        <f>+K81+K78</f>
        <v>0</v>
      </c>
      <c r="L77" s="824">
        <v>0</v>
      </c>
      <c r="M77" s="241">
        <f t="shared" si="89"/>
        <v>0</v>
      </c>
      <c r="N77" s="3101" t="s">
        <v>39</v>
      </c>
      <c r="O77" s="218"/>
    </row>
    <row r="78" spans="1:15" s="266" customFormat="1" ht="12.75" customHeight="1" x14ac:dyDescent="0.2">
      <c r="A78" s="3220"/>
      <c r="B78" s="242" t="s">
        <v>17</v>
      </c>
      <c r="C78" s="3218" t="s">
        <v>34</v>
      </c>
      <c r="D78" s="772">
        <f t="shared" ref="D78:I78" si="91">D80+D79</f>
        <v>14601408</v>
      </c>
      <c r="E78" s="773">
        <f t="shared" si="91"/>
        <v>13840728</v>
      </c>
      <c r="F78" s="773">
        <f>F80+F79</f>
        <v>760680</v>
      </c>
      <c r="G78" s="773">
        <f t="shared" si="91"/>
        <v>0</v>
      </c>
      <c r="H78" s="825">
        <f t="shared" si="91"/>
        <v>0</v>
      </c>
      <c r="I78" s="772">
        <f t="shared" si="91"/>
        <v>14601408</v>
      </c>
      <c r="J78" s="26">
        <f t="shared" si="87"/>
        <v>100</v>
      </c>
      <c r="K78" s="773">
        <f>K80+K79</f>
        <v>0</v>
      </c>
      <c r="L78" s="258">
        <v>0</v>
      </c>
      <c r="M78" s="778">
        <f t="shared" si="89"/>
        <v>0</v>
      </c>
      <c r="N78" s="3101"/>
      <c r="O78" s="218"/>
    </row>
    <row r="79" spans="1:15" s="266" customFormat="1" ht="12.75" customHeight="1" thickBot="1" x14ac:dyDescent="0.25">
      <c r="A79" s="3133"/>
      <c r="B79" s="243" t="s">
        <v>9</v>
      </c>
      <c r="C79" s="3218"/>
      <c r="D79" s="244">
        <f>+E79+F79+G79+H79</f>
        <v>215095</v>
      </c>
      <c r="E79" s="245">
        <f>110000+105095</f>
        <v>215095</v>
      </c>
      <c r="F79" s="245">
        <v>0</v>
      </c>
      <c r="G79" s="245">
        <v>0</v>
      </c>
      <c r="H79" s="826">
        <v>0</v>
      </c>
      <c r="I79" s="246">
        <f>E79+F79+K79</f>
        <v>215095</v>
      </c>
      <c r="J79" s="780">
        <f t="shared" si="87"/>
        <v>100</v>
      </c>
      <c r="K79" s="245">
        <v>0</v>
      </c>
      <c r="L79" s="782">
        <v>0</v>
      </c>
      <c r="M79" s="247">
        <f t="shared" si="89"/>
        <v>0</v>
      </c>
      <c r="N79" s="3101"/>
      <c r="O79" s="218"/>
    </row>
    <row r="80" spans="1:15" s="827" customFormat="1" ht="12.75" customHeight="1" x14ac:dyDescent="0.2">
      <c r="A80" s="3132"/>
      <c r="B80" s="243" t="s">
        <v>11</v>
      </c>
      <c r="C80" s="3218"/>
      <c r="D80" s="244">
        <f>+E80+F80+G80+H80</f>
        <v>14386313</v>
      </c>
      <c r="E80" s="245">
        <f>8486313+5139320</f>
        <v>13625633</v>
      </c>
      <c r="F80" s="245">
        <v>760680</v>
      </c>
      <c r="G80" s="245">
        <v>0</v>
      </c>
      <c r="H80" s="269">
        <v>0</v>
      </c>
      <c r="I80" s="246">
        <f>E80+F80+K80</f>
        <v>14386313</v>
      </c>
      <c r="J80" s="249">
        <f t="shared" si="87"/>
        <v>100</v>
      </c>
      <c r="K80" s="245">
        <v>0</v>
      </c>
      <c r="L80" s="782">
        <v>0</v>
      </c>
      <c r="M80" s="247">
        <f t="shared" si="89"/>
        <v>0</v>
      </c>
      <c r="N80" s="3101"/>
      <c r="O80" s="218"/>
    </row>
    <row r="81" spans="1:15" s="266" customFormat="1" ht="12.75" customHeight="1" x14ac:dyDescent="0.2">
      <c r="A81" s="3181"/>
      <c r="B81" s="253" t="s">
        <v>12</v>
      </c>
      <c r="C81" s="3218"/>
      <c r="D81" s="254">
        <f>+D83+D82</f>
        <v>14386314</v>
      </c>
      <c r="E81" s="255">
        <f>+E82+E83</f>
        <v>13625633</v>
      </c>
      <c r="F81" s="255">
        <f>+F83+F82</f>
        <v>760681</v>
      </c>
      <c r="G81" s="255">
        <f>+G83+G82</f>
        <v>0</v>
      </c>
      <c r="H81" s="825">
        <f>+H83+H82</f>
        <v>0</v>
      </c>
      <c r="I81" s="254">
        <f>+I82+I83</f>
        <v>14386314</v>
      </c>
      <c r="J81" s="26">
        <f t="shared" si="87"/>
        <v>100</v>
      </c>
      <c r="K81" s="255">
        <f>+K83+K82</f>
        <v>0</v>
      </c>
      <c r="L81" s="258">
        <v>0</v>
      </c>
      <c r="M81" s="259">
        <f t="shared" si="89"/>
        <v>0</v>
      </c>
      <c r="N81" s="3101"/>
      <c r="O81" s="218"/>
    </row>
    <row r="82" spans="1:15" s="266" customFormat="1" ht="12.75" hidden="1" customHeight="1" x14ac:dyDescent="0.2">
      <c r="A82" s="3220"/>
      <c r="B82" s="243" t="s">
        <v>11</v>
      </c>
      <c r="C82" s="3218"/>
      <c r="D82" s="783">
        <f>+E82+F82+G82+H82</f>
        <v>0</v>
      </c>
      <c r="E82" s="260">
        <v>0</v>
      </c>
      <c r="F82" s="260">
        <v>0</v>
      </c>
      <c r="G82" s="260">
        <v>0</v>
      </c>
      <c r="H82" s="269">
        <v>0</v>
      </c>
      <c r="I82" s="784">
        <f>E82+F82+K82</f>
        <v>0</v>
      </c>
      <c r="J82" s="780" t="e">
        <f t="shared" si="87"/>
        <v>#DIV/0!</v>
      </c>
      <c r="K82" s="260">
        <v>0</v>
      </c>
      <c r="L82" s="782" t="e">
        <f t="shared" si="82"/>
        <v>#DIV/0!</v>
      </c>
      <c r="M82" s="782">
        <f t="shared" si="88"/>
        <v>0</v>
      </c>
      <c r="N82" s="3101"/>
      <c r="O82" s="218"/>
    </row>
    <row r="83" spans="1:15" s="266" customFormat="1" ht="12.75" customHeight="1" thickBot="1" x14ac:dyDescent="0.25">
      <c r="A83" s="3133"/>
      <c r="B83" s="828" t="s">
        <v>14</v>
      </c>
      <c r="C83" s="3229"/>
      <c r="D83" s="262">
        <f>+E83+F83+G83+H83</f>
        <v>14386314</v>
      </c>
      <c r="E83" s="263">
        <f>2990948+10634685</f>
        <v>13625633</v>
      </c>
      <c r="F83" s="263">
        <v>760681</v>
      </c>
      <c r="G83" s="263">
        <v>0</v>
      </c>
      <c r="H83" s="829">
        <v>0</v>
      </c>
      <c r="I83" s="264">
        <f>E83+F83+K83</f>
        <v>14386314</v>
      </c>
      <c r="J83" s="270">
        <f>I83/D83*100</f>
        <v>100</v>
      </c>
      <c r="K83" s="263">
        <v>0</v>
      </c>
      <c r="L83" s="830">
        <v>0</v>
      </c>
      <c r="M83" s="247">
        <f>+K83-G83</f>
        <v>0</v>
      </c>
      <c r="N83" s="3104"/>
      <c r="O83" s="218"/>
    </row>
    <row r="84" spans="1:15" ht="27.75" customHeight="1" thickBot="1" x14ac:dyDescent="0.25">
      <c r="A84" s="3176" t="s">
        <v>40</v>
      </c>
      <c r="B84" s="831" t="s">
        <v>239</v>
      </c>
      <c r="C84" s="832" t="s">
        <v>166</v>
      </c>
      <c r="D84" s="237" t="s">
        <v>42</v>
      </c>
      <c r="E84" s="238"/>
      <c r="F84" s="238"/>
      <c r="G84" s="238"/>
      <c r="H84" s="239"/>
      <c r="I84" s="237"/>
      <c r="J84" s="238"/>
      <c r="K84" s="238"/>
      <c r="L84" s="240"/>
      <c r="M84" s="240"/>
      <c r="N84" s="769" t="s">
        <v>36</v>
      </c>
      <c r="O84" s="218"/>
    </row>
    <row r="85" spans="1:15" x14ac:dyDescent="0.2">
      <c r="A85" s="3131"/>
      <c r="B85" s="220" t="s">
        <v>2</v>
      </c>
      <c r="C85" s="823"/>
      <c r="D85" s="807">
        <f t="shared" ref="D85:I85" si="92">+D86+D89</f>
        <v>25426958</v>
      </c>
      <c r="E85" s="808">
        <f t="shared" si="92"/>
        <v>25407926</v>
      </c>
      <c r="F85" s="808">
        <f>+F86+F89</f>
        <v>2032</v>
      </c>
      <c r="G85" s="808">
        <f t="shared" si="92"/>
        <v>17000</v>
      </c>
      <c r="H85" s="808">
        <f t="shared" si="92"/>
        <v>0</v>
      </c>
      <c r="I85" s="807">
        <f t="shared" si="92"/>
        <v>25409958</v>
      </c>
      <c r="J85" s="267">
        <f t="shared" ref="J85:J147" si="93">I85/D85*100</f>
        <v>99.933141825302101</v>
      </c>
      <c r="K85" s="808">
        <f>+K86+K89</f>
        <v>0</v>
      </c>
      <c r="L85" s="271">
        <f t="shared" si="82"/>
        <v>0</v>
      </c>
      <c r="M85" s="241">
        <f>+K85-G85</f>
        <v>-17000</v>
      </c>
      <c r="N85" s="3191" t="s">
        <v>37</v>
      </c>
      <c r="O85" s="218"/>
    </row>
    <row r="86" spans="1:15" x14ac:dyDescent="0.2">
      <c r="A86" s="3131"/>
      <c r="B86" s="242" t="s">
        <v>17</v>
      </c>
      <c r="C86" s="3218" t="s">
        <v>38</v>
      </c>
      <c r="D86" s="833">
        <f t="shared" ref="D86:I86" si="94">+D87+D88</f>
        <v>13109611</v>
      </c>
      <c r="E86" s="814">
        <f t="shared" si="94"/>
        <v>13090579</v>
      </c>
      <c r="F86" s="814">
        <f>+F87+F88</f>
        <v>2032</v>
      </c>
      <c r="G86" s="814">
        <f t="shared" si="94"/>
        <v>17000</v>
      </c>
      <c r="H86" s="814">
        <f t="shared" si="94"/>
        <v>0</v>
      </c>
      <c r="I86" s="833">
        <f t="shared" si="94"/>
        <v>13092611</v>
      </c>
      <c r="J86" s="26">
        <f t="shared" si="93"/>
        <v>99.87032414615507</v>
      </c>
      <c r="K86" s="814">
        <f>+K87+K88</f>
        <v>0</v>
      </c>
      <c r="L86" s="834">
        <f t="shared" si="82"/>
        <v>0</v>
      </c>
      <c r="M86" s="778">
        <f>+K86-G86</f>
        <v>-17000</v>
      </c>
      <c r="N86" s="3187"/>
      <c r="O86" s="218"/>
    </row>
    <row r="87" spans="1:15" ht="11.25" customHeight="1" thickBot="1" x14ac:dyDescent="0.25">
      <c r="A87" s="3205"/>
      <c r="B87" s="243" t="s">
        <v>4</v>
      </c>
      <c r="C87" s="3219"/>
      <c r="D87" s="244">
        <f>+E87+F87+G87+H87</f>
        <v>792265</v>
      </c>
      <c r="E87" s="245">
        <f>21848+751385</f>
        <v>773233</v>
      </c>
      <c r="F87" s="245">
        <v>2032</v>
      </c>
      <c r="G87" s="245">
        <v>17000</v>
      </c>
      <c r="H87" s="245">
        <v>0</v>
      </c>
      <c r="I87" s="246">
        <f>E87+F87+K87</f>
        <v>775265</v>
      </c>
      <c r="J87" s="780">
        <f t="shared" si="93"/>
        <v>97.854253311707566</v>
      </c>
      <c r="K87" s="779">
        <v>0</v>
      </c>
      <c r="L87" s="781">
        <f t="shared" si="82"/>
        <v>0</v>
      </c>
      <c r="M87" s="247">
        <f>+K87-G87</f>
        <v>-17000</v>
      </c>
      <c r="N87" s="3187"/>
      <c r="O87" s="218"/>
    </row>
    <row r="88" spans="1:15" s="252" customFormat="1" ht="11.25" customHeight="1" x14ac:dyDescent="0.2">
      <c r="A88" s="3130"/>
      <c r="B88" s="243" t="s">
        <v>11</v>
      </c>
      <c r="C88" s="3219"/>
      <c r="D88" s="244">
        <f>++E88+F88+G88+H88</f>
        <v>12317346</v>
      </c>
      <c r="E88" s="779">
        <f>83204+290875+9522233+2421034</f>
        <v>12317346</v>
      </c>
      <c r="F88" s="245">
        <v>0</v>
      </c>
      <c r="G88" s="245">
        <v>0</v>
      </c>
      <c r="H88" s="269">
        <v>0</v>
      </c>
      <c r="I88" s="246">
        <f>E88+F88+K88</f>
        <v>12317346</v>
      </c>
      <c r="J88" s="249">
        <f t="shared" si="93"/>
        <v>100</v>
      </c>
      <c r="K88" s="779">
        <v>0</v>
      </c>
      <c r="L88" s="251">
        <v>0</v>
      </c>
      <c r="M88" s="247">
        <f>+K88-G88</f>
        <v>0</v>
      </c>
      <c r="N88" s="3187"/>
      <c r="O88" s="218"/>
    </row>
    <row r="89" spans="1:15" x14ac:dyDescent="0.2">
      <c r="A89" s="3131"/>
      <c r="B89" s="253" t="s">
        <v>12</v>
      </c>
      <c r="C89" s="3219"/>
      <c r="D89" s="254">
        <f>+D91+D90</f>
        <v>12317347</v>
      </c>
      <c r="E89" s="255">
        <f>+E91+E90</f>
        <v>12317347</v>
      </c>
      <c r="F89" s="255">
        <f>+F91+F90</f>
        <v>0</v>
      </c>
      <c r="G89" s="255">
        <f>+G90+G91</f>
        <v>0</v>
      </c>
      <c r="H89" s="256">
        <f>+H91+H90</f>
        <v>0</v>
      </c>
      <c r="I89" s="254">
        <f>+I90+I91</f>
        <v>12317347</v>
      </c>
      <c r="J89" s="26">
        <f t="shared" si="93"/>
        <v>100</v>
      </c>
      <c r="K89" s="255">
        <f>+K91+K90</f>
        <v>0</v>
      </c>
      <c r="L89" s="258">
        <v>0</v>
      </c>
      <c r="M89" s="259">
        <f>+K89-G89</f>
        <v>0</v>
      </c>
      <c r="N89" s="3187"/>
      <c r="O89" s="218"/>
    </row>
    <row r="90" spans="1:15" ht="12.75" hidden="1" customHeight="1" x14ac:dyDescent="0.2">
      <c r="A90" s="3131"/>
      <c r="B90" s="243" t="s">
        <v>11</v>
      </c>
      <c r="C90" s="3219"/>
      <c r="D90" s="783">
        <f>+E90+F90+G90+H90</f>
        <v>0</v>
      </c>
      <c r="E90" s="250">
        <v>0</v>
      </c>
      <c r="F90" s="260">
        <v>0</v>
      </c>
      <c r="G90" s="260">
        <v>0</v>
      </c>
      <c r="H90" s="269">
        <v>0</v>
      </c>
      <c r="I90" s="784">
        <f>E90+F90+K90</f>
        <v>0</v>
      </c>
      <c r="J90" s="780" t="e">
        <f t="shared" si="93"/>
        <v>#DIV/0!</v>
      </c>
      <c r="K90" s="250">
        <v>0</v>
      </c>
      <c r="L90" s="782" t="e">
        <f t="shared" si="82"/>
        <v>#DIV/0!</v>
      </c>
      <c r="M90" s="782">
        <f t="shared" si="88"/>
        <v>0</v>
      </c>
      <c r="N90" s="3187"/>
      <c r="O90" s="218"/>
    </row>
    <row r="91" spans="1:15" ht="13.5" customHeight="1" x14ac:dyDescent="0.2">
      <c r="A91" s="3131"/>
      <c r="B91" s="243" t="s">
        <v>14</v>
      </c>
      <c r="C91" s="3219"/>
      <c r="D91" s="244">
        <f>++E91+F91+G91+H91</f>
        <v>12317347</v>
      </c>
      <c r="E91" s="779">
        <f>83205+290875+4383590+7559677</f>
        <v>12317347</v>
      </c>
      <c r="F91" s="245">
        <v>0</v>
      </c>
      <c r="G91" s="245">
        <v>0</v>
      </c>
      <c r="H91" s="269">
        <v>0</v>
      </c>
      <c r="I91" s="246">
        <f>E91+F91+K91</f>
        <v>12317347</v>
      </c>
      <c r="J91" s="249">
        <f t="shared" si="93"/>
        <v>100</v>
      </c>
      <c r="K91" s="779">
        <v>0</v>
      </c>
      <c r="L91" s="251">
        <v>0</v>
      </c>
      <c r="M91" s="247">
        <f>+K91-G91</f>
        <v>0</v>
      </c>
      <c r="N91" s="3187"/>
      <c r="O91" s="218"/>
    </row>
    <row r="92" spans="1:15" x14ac:dyDescent="0.2">
      <c r="A92" s="3132"/>
      <c r="B92" s="220" t="s">
        <v>16</v>
      </c>
      <c r="C92" s="823"/>
      <c r="D92" s="233">
        <f t="shared" ref="D92:I92" si="95">+D95+D93</f>
        <v>24634693</v>
      </c>
      <c r="E92" s="234">
        <f t="shared" si="95"/>
        <v>23405623</v>
      </c>
      <c r="F92" s="234">
        <f>+F95+F93</f>
        <v>1229070</v>
      </c>
      <c r="G92" s="234">
        <f t="shared" si="95"/>
        <v>0</v>
      </c>
      <c r="H92" s="261">
        <f t="shared" si="95"/>
        <v>0</v>
      </c>
      <c r="I92" s="233">
        <f t="shared" si="95"/>
        <v>24634693</v>
      </c>
      <c r="J92" s="743">
        <f t="shared" si="93"/>
        <v>100</v>
      </c>
      <c r="K92" s="234">
        <f>+K95+K93</f>
        <v>0</v>
      </c>
      <c r="L92" s="824">
        <v>0</v>
      </c>
      <c r="M92" s="241">
        <f>+K92-G92</f>
        <v>0</v>
      </c>
      <c r="N92" s="3101" t="s">
        <v>39</v>
      </c>
      <c r="O92" s="218"/>
    </row>
    <row r="93" spans="1:15" x14ac:dyDescent="0.2">
      <c r="A93" s="3132"/>
      <c r="B93" s="242" t="s">
        <v>17</v>
      </c>
      <c r="C93" s="3218" t="s">
        <v>34</v>
      </c>
      <c r="D93" s="835">
        <f t="shared" ref="D93:I93" si="96">D94</f>
        <v>12317346</v>
      </c>
      <c r="E93" s="792">
        <f t="shared" si="96"/>
        <v>11702811</v>
      </c>
      <c r="F93" s="792">
        <f>F94</f>
        <v>614535</v>
      </c>
      <c r="G93" s="792">
        <f t="shared" si="96"/>
        <v>0</v>
      </c>
      <c r="H93" s="789">
        <f t="shared" si="96"/>
        <v>0</v>
      </c>
      <c r="I93" s="835">
        <f t="shared" si="96"/>
        <v>12317346</v>
      </c>
      <c r="J93" s="26">
        <f t="shared" si="93"/>
        <v>100</v>
      </c>
      <c r="K93" s="836">
        <f>K94</f>
        <v>0</v>
      </c>
      <c r="L93" s="258">
        <v>0</v>
      </c>
      <c r="M93" s="778">
        <f>+K93-G93</f>
        <v>0</v>
      </c>
      <c r="N93" s="3101"/>
      <c r="O93" s="218"/>
    </row>
    <row r="94" spans="1:15" s="252" customFormat="1" x14ac:dyDescent="0.2">
      <c r="A94" s="3132"/>
      <c r="B94" s="243" t="s">
        <v>11</v>
      </c>
      <c r="C94" s="3218"/>
      <c r="D94" s="244">
        <f>++E94+F94+G94+H94</f>
        <v>12317346</v>
      </c>
      <c r="E94" s="245">
        <f>4714241+6988570</f>
        <v>11702811</v>
      </c>
      <c r="F94" s="245">
        <v>614535</v>
      </c>
      <c r="G94" s="245">
        <v>0</v>
      </c>
      <c r="H94" s="269">
        <v>0</v>
      </c>
      <c r="I94" s="246">
        <f>E94+F94+K94</f>
        <v>12317346</v>
      </c>
      <c r="J94" s="780">
        <f t="shared" si="93"/>
        <v>100</v>
      </c>
      <c r="K94" s="779">
        <v>0</v>
      </c>
      <c r="L94" s="782">
        <v>0</v>
      </c>
      <c r="M94" s="247">
        <f>+K94-G94</f>
        <v>0</v>
      </c>
      <c r="N94" s="3101"/>
      <c r="O94" s="218"/>
    </row>
    <row r="95" spans="1:15" x14ac:dyDescent="0.2">
      <c r="A95" s="3132"/>
      <c r="B95" s="253" t="s">
        <v>12</v>
      </c>
      <c r="C95" s="3218"/>
      <c r="D95" s="254">
        <f>+D97+D96</f>
        <v>12317347</v>
      </c>
      <c r="E95" s="255">
        <f>+E97+E96</f>
        <v>11702812</v>
      </c>
      <c r="F95" s="255">
        <f>+F97+F96</f>
        <v>614535</v>
      </c>
      <c r="G95" s="255">
        <f>+G96+G97</f>
        <v>0</v>
      </c>
      <c r="H95" s="256">
        <f>+H97+H96</f>
        <v>0</v>
      </c>
      <c r="I95" s="254">
        <f>+I96+I97</f>
        <v>12317347</v>
      </c>
      <c r="J95" s="26">
        <f t="shared" si="93"/>
        <v>100</v>
      </c>
      <c r="K95" s="255">
        <f>+K97+K96</f>
        <v>0</v>
      </c>
      <c r="L95" s="258">
        <v>0</v>
      </c>
      <c r="M95" s="259">
        <f>+K95-G95</f>
        <v>0</v>
      </c>
      <c r="N95" s="3101"/>
      <c r="O95" s="218"/>
    </row>
    <row r="96" spans="1:15" ht="12.75" hidden="1" customHeight="1" x14ac:dyDescent="0.2">
      <c r="A96" s="3132"/>
      <c r="B96" s="243" t="s">
        <v>11</v>
      </c>
      <c r="C96" s="3100"/>
      <c r="D96" s="783">
        <f>+E96+F96+G96+H96</f>
        <v>0</v>
      </c>
      <c r="E96" s="260">
        <v>0</v>
      </c>
      <c r="F96" s="260">
        <v>0</v>
      </c>
      <c r="G96" s="260">
        <v>0</v>
      </c>
      <c r="H96" s="269">
        <v>0</v>
      </c>
      <c r="I96" s="784">
        <f>E96+F96+K96</f>
        <v>0</v>
      </c>
      <c r="J96" s="780" t="e">
        <f t="shared" si="93"/>
        <v>#DIV/0!</v>
      </c>
      <c r="K96" s="250">
        <v>0</v>
      </c>
      <c r="L96" s="782" t="e">
        <f t="shared" si="82"/>
        <v>#DIV/0!</v>
      </c>
      <c r="M96" s="782">
        <f t="shared" si="88"/>
        <v>0</v>
      </c>
      <c r="N96" s="3101"/>
      <c r="O96" s="218"/>
    </row>
    <row r="97" spans="1:15" ht="12" customHeight="1" thickBot="1" x14ac:dyDescent="0.25">
      <c r="A97" s="3133"/>
      <c r="B97" s="828" t="s">
        <v>14</v>
      </c>
      <c r="C97" s="3122"/>
      <c r="D97" s="262">
        <f>+E97+F97+G97+H97</f>
        <v>12317347</v>
      </c>
      <c r="E97" s="263">
        <f>3307118+8395694</f>
        <v>11702812</v>
      </c>
      <c r="F97" s="263">
        <v>614535</v>
      </c>
      <c r="G97" s="263">
        <v>0</v>
      </c>
      <c r="H97" s="272">
        <v>0</v>
      </c>
      <c r="I97" s="264">
        <f>E97+F97+K97</f>
        <v>12317347</v>
      </c>
      <c r="J97" s="270">
        <f t="shared" si="93"/>
        <v>100</v>
      </c>
      <c r="K97" s="263">
        <v>0</v>
      </c>
      <c r="L97" s="830">
        <v>0</v>
      </c>
      <c r="M97" s="263">
        <f>+K97-G97</f>
        <v>0</v>
      </c>
      <c r="N97" s="3104"/>
      <c r="O97" s="218"/>
    </row>
    <row r="98" spans="1:15" s="266" customFormat="1" ht="25.5" customHeight="1" thickBot="1" x14ac:dyDescent="0.25">
      <c r="A98" s="3150" t="s">
        <v>41</v>
      </c>
      <c r="B98" s="831" t="s">
        <v>240</v>
      </c>
      <c r="C98" s="236" t="s">
        <v>166</v>
      </c>
      <c r="D98" s="237"/>
      <c r="E98" s="238"/>
      <c r="F98" s="238"/>
      <c r="G98" s="238"/>
      <c r="H98" s="239"/>
      <c r="I98" s="237"/>
      <c r="J98" s="238"/>
      <c r="K98" s="238"/>
      <c r="L98" s="240"/>
      <c r="M98" s="238"/>
      <c r="N98" s="769" t="s">
        <v>36</v>
      </c>
      <c r="O98" s="218"/>
    </row>
    <row r="99" spans="1:15" s="266" customFormat="1" ht="11.25" customHeight="1" x14ac:dyDescent="0.2">
      <c r="A99" s="3130"/>
      <c r="B99" s="220" t="s">
        <v>2</v>
      </c>
      <c r="C99" s="25"/>
      <c r="D99" s="807">
        <f t="shared" ref="D99:I99" si="97">+D100+D104</f>
        <v>39398906</v>
      </c>
      <c r="E99" s="808">
        <f t="shared" si="97"/>
        <v>39341921</v>
      </c>
      <c r="F99" s="808">
        <f>+F100+F104</f>
        <v>16985</v>
      </c>
      <c r="G99" s="808">
        <f t="shared" si="97"/>
        <v>40000</v>
      </c>
      <c r="H99" s="808">
        <f t="shared" si="97"/>
        <v>0</v>
      </c>
      <c r="I99" s="807">
        <f t="shared" si="97"/>
        <v>39360985</v>
      </c>
      <c r="J99" s="267">
        <f t="shared" si="93"/>
        <v>99.903751134612719</v>
      </c>
      <c r="K99" s="808">
        <f>+K100+K104</f>
        <v>2079</v>
      </c>
      <c r="L99" s="271">
        <f t="shared" si="82"/>
        <v>5.1974999999999998</v>
      </c>
      <c r="M99" s="241">
        <f t="shared" ref="M99:M104" si="98">+K99-G99</f>
        <v>-37921</v>
      </c>
      <c r="N99" s="3191" t="s">
        <v>37</v>
      </c>
      <c r="O99" s="218"/>
    </row>
    <row r="100" spans="1:15" s="266" customFormat="1" ht="12" customHeight="1" x14ac:dyDescent="0.2">
      <c r="A100" s="3131"/>
      <c r="B100" s="242" t="s">
        <v>17</v>
      </c>
      <c r="C100" s="3100" t="s">
        <v>38</v>
      </c>
      <c r="D100" s="833">
        <f t="shared" ref="D100:I100" si="99">+D101+D103+D102</f>
        <v>10987189</v>
      </c>
      <c r="E100" s="814">
        <f t="shared" si="99"/>
        <v>10930204</v>
      </c>
      <c r="F100" s="814">
        <f>+F101+F103+F102</f>
        <v>16985</v>
      </c>
      <c r="G100" s="814">
        <f t="shared" si="99"/>
        <v>40000</v>
      </c>
      <c r="H100" s="814">
        <f t="shared" si="99"/>
        <v>0</v>
      </c>
      <c r="I100" s="833">
        <f t="shared" si="99"/>
        <v>10949268</v>
      </c>
      <c r="J100" s="26">
        <f t="shared" si="93"/>
        <v>99.654861675720696</v>
      </c>
      <c r="K100" s="814">
        <f>+K101+K103+K102</f>
        <v>2079</v>
      </c>
      <c r="L100" s="834">
        <f t="shared" si="82"/>
        <v>5.1974999999999998</v>
      </c>
      <c r="M100" s="778">
        <f t="shared" si="98"/>
        <v>-37921</v>
      </c>
      <c r="N100" s="3187"/>
      <c r="O100" s="218"/>
    </row>
    <row r="101" spans="1:15" s="266" customFormat="1" ht="12" customHeight="1" x14ac:dyDescent="0.2">
      <c r="A101" s="3131"/>
      <c r="B101" s="243" t="s">
        <v>4</v>
      </c>
      <c r="C101" s="3101"/>
      <c r="D101" s="244">
        <f>++E101+F101+G101+H101</f>
        <v>4156352</v>
      </c>
      <c r="E101" s="779">
        <f>23116+143094+1131259+2801898</f>
        <v>4099367</v>
      </c>
      <c r="F101" s="779">
        <v>16985</v>
      </c>
      <c r="G101" s="779">
        <v>40000</v>
      </c>
      <c r="H101" s="779">
        <v>0</v>
      </c>
      <c r="I101" s="274">
        <f>E101+F101+K101</f>
        <v>4118431</v>
      </c>
      <c r="J101" s="780">
        <f t="shared" si="93"/>
        <v>99.087637428206278</v>
      </c>
      <c r="K101" s="779">
        <v>2079</v>
      </c>
      <c r="L101" s="781">
        <f t="shared" si="82"/>
        <v>5.1974999999999998</v>
      </c>
      <c r="M101" s="247">
        <f t="shared" si="98"/>
        <v>-37921</v>
      </c>
      <c r="N101" s="3187"/>
      <c r="O101" s="218"/>
    </row>
    <row r="102" spans="1:15" s="266" customFormat="1" ht="12" customHeight="1" x14ac:dyDescent="0.2">
      <c r="A102" s="3131"/>
      <c r="B102" s="243" t="s">
        <v>9</v>
      </c>
      <c r="C102" s="3101"/>
      <c r="D102" s="244">
        <f>++E102+F102+G102+H102</f>
        <v>24600</v>
      </c>
      <c r="E102" s="779">
        <v>24600</v>
      </c>
      <c r="F102" s="779">
        <v>0</v>
      </c>
      <c r="G102" s="250">
        <v>0</v>
      </c>
      <c r="H102" s="248">
        <v>0</v>
      </c>
      <c r="I102" s="274">
        <f>E102+F102+K102</f>
        <v>24600</v>
      </c>
      <c r="J102" s="249">
        <f t="shared" si="93"/>
        <v>100</v>
      </c>
      <c r="K102" s="250">
        <v>0</v>
      </c>
      <c r="L102" s="251">
        <v>0</v>
      </c>
      <c r="M102" s="247">
        <f t="shared" si="98"/>
        <v>0</v>
      </c>
      <c r="N102" s="3187"/>
      <c r="O102" s="218"/>
    </row>
    <row r="103" spans="1:15" s="268" customFormat="1" ht="12" customHeight="1" x14ac:dyDescent="0.2">
      <c r="A103" s="3131"/>
      <c r="B103" s="243" t="s">
        <v>11</v>
      </c>
      <c r="C103" s="3101"/>
      <c r="D103" s="244">
        <f>+E103+F103+G103+H103</f>
        <v>6806237</v>
      </c>
      <c r="E103" s="779">
        <f>16111+80867+5627797+1081462</f>
        <v>6806237</v>
      </c>
      <c r="F103" s="779">
        <v>0</v>
      </c>
      <c r="G103" s="250">
        <v>0</v>
      </c>
      <c r="H103" s="248">
        <v>0</v>
      </c>
      <c r="I103" s="274">
        <f>E103+F103+K103</f>
        <v>6806237</v>
      </c>
      <c r="J103" s="780">
        <f t="shared" si="93"/>
        <v>100</v>
      </c>
      <c r="K103" s="250">
        <v>0</v>
      </c>
      <c r="L103" s="782">
        <v>0</v>
      </c>
      <c r="M103" s="247">
        <f t="shared" si="98"/>
        <v>0</v>
      </c>
      <c r="N103" s="3187"/>
      <c r="O103" s="218"/>
    </row>
    <row r="104" spans="1:15" s="266" customFormat="1" ht="12" customHeight="1" x14ac:dyDescent="0.2">
      <c r="A104" s="3131"/>
      <c r="B104" s="253" t="s">
        <v>12</v>
      </c>
      <c r="C104" s="3101"/>
      <c r="D104" s="254">
        <f>+D106+D105</f>
        <v>28411717</v>
      </c>
      <c r="E104" s="255">
        <f>+E106+E105</f>
        <v>28411717</v>
      </c>
      <c r="F104" s="255">
        <f>+F106+F105</f>
        <v>0</v>
      </c>
      <c r="G104" s="257">
        <f>++G105+G106</f>
        <v>0</v>
      </c>
      <c r="H104" s="256">
        <f>+H106+H105</f>
        <v>0</v>
      </c>
      <c r="I104" s="254">
        <f>+I105+I106</f>
        <v>28411717</v>
      </c>
      <c r="J104" s="26">
        <f t="shared" si="93"/>
        <v>100</v>
      </c>
      <c r="K104" s="257">
        <f>+K106+K105</f>
        <v>0</v>
      </c>
      <c r="L104" s="258">
        <v>0</v>
      </c>
      <c r="M104" s="259">
        <f t="shared" si="98"/>
        <v>0</v>
      </c>
      <c r="N104" s="3187"/>
      <c r="O104" s="218"/>
    </row>
    <row r="105" spans="1:15" s="266" customFormat="1" ht="12" hidden="1" customHeight="1" x14ac:dyDescent="0.2">
      <c r="A105" s="3131"/>
      <c r="B105" s="243" t="s">
        <v>11</v>
      </c>
      <c r="C105" s="3101"/>
      <c r="D105" s="783">
        <f>+E105+F105+G105+H105</f>
        <v>0</v>
      </c>
      <c r="E105" s="250">
        <v>0</v>
      </c>
      <c r="F105" s="260">
        <v>0</v>
      </c>
      <c r="G105" s="260">
        <v>0</v>
      </c>
      <c r="H105" s="269">
        <v>0</v>
      </c>
      <c r="I105" s="784">
        <f>E105+F105+K105</f>
        <v>0</v>
      </c>
      <c r="J105" s="780" t="e">
        <f t="shared" si="93"/>
        <v>#DIV/0!</v>
      </c>
      <c r="K105" s="260">
        <v>0</v>
      </c>
      <c r="L105" s="782" t="e">
        <f t="shared" si="82"/>
        <v>#DIV/0!</v>
      </c>
      <c r="M105" s="782">
        <f t="shared" si="88"/>
        <v>0</v>
      </c>
      <c r="N105" s="3187"/>
      <c r="O105" s="218"/>
    </row>
    <row r="106" spans="1:15" s="266" customFormat="1" ht="12" customHeight="1" x14ac:dyDescent="0.2">
      <c r="A106" s="3131"/>
      <c r="B106" s="243" t="s">
        <v>14</v>
      </c>
      <c r="C106" s="3101"/>
      <c r="D106" s="244">
        <f>+E106+F106+G106+H106</f>
        <v>28411717</v>
      </c>
      <c r="E106" s="779">
        <f>67256+337569+6409011+21597881</f>
        <v>28411717</v>
      </c>
      <c r="F106" s="779">
        <v>0</v>
      </c>
      <c r="G106" s="250">
        <v>0</v>
      </c>
      <c r="H106" s="248">
        <v>0</v>
      </c>
      <c r="I106" s="274">
        <f>E106+F106+K106</f>
        <v>28411717</v>
      </c>
      <c r="J106" s="249">
        <f t="shared" si="93"/>
        <v>100</v>
      </c>
      <c r="K106" s="250">
        <v>0</v>
      </c>
      <c r="L106" s="251">
        <v>0</v>
      </c>
      <c r="M106" s="247">
        <f t="shared" ref="M106:M113" si="100">+K106-G106</f>
        <v>0</v>
      </c>
      <c r="N106" s="3187"/>
      <c r="O106" s="218"/>
    </row>
    <row r="107" spans="1:15" s="266" customFormat="1" ht="11.25" customHeight="1" x14ac:dyDescent="0.2">
      <c r="A107" s="3132"/>
      <c r="B107" s="220" t="s">
        <v>16</v>
      </c>
      <c r="C107" s="25"/>
      <c r="D107" s="233">
        <f t="shared" ref="D107:I107" si="101">+D111+D108</f>
        <v>35242554</v>
      </c>
      <c r="E107" s="234">
        <f t="shared" ref="E107" si="102">+E111+E108</f>
        <v>32969100</v>
      </c>
      <c r="F107" s="234">
        <f>+F111+F108</f>
        <v>2273454</v>
      </c>
      <c r="G107" s="234">
        <f t="shared" si="101"/>
        <v>0</v>
      </c>
      <c r="H107" s="261">
        <f t="shared" si="101"/>
        <v>0</v>
      </c>
      <c r="I107" s="233">
        <f t="shared" si="101"/>
        <v>35242554</v>
      </c>
      <c r="J107" s="743">
        <f t="shared" si="93"/>
        <v>100</v>
      </c>
      <c r="K107" s="234">
        <f>+K111+K108</f>
        <v>0</v>
      </c>
      <c r="L107" s="824">
        <v>0</v>
      </c>
      <c r="M107" s="241">
        <f t="shared" si="100"/>
        <v>0</v>
      </c>
      <c r="N107" s="3101" t="s">
        <v>39</v>
      </c>
      <c r="O107" s="218"/>
    </row>
    <row r="108" spans="1:15" s="266" customFormat="1" x14ac:dyDescent="0.2">
      <c r="A108" s="3132"/>
      <c r="B108" s="242" t="s">
        <v>17</v>
      </c>
      <c r="C108" s="837"/>
      <c r="D108" s="790">
        <f>D110+D109</f>
        <v>6830837</v>
      </c>
      <c r="E108" s="836">
        <f t="shared" ref="E108:F108" si="103">E110+E109</f>
        <v>6391468</v>
      </c>
      <c r="F108" s="836">
        <f t="shared" si="103"/>
        <v>439369</v>
      </c>
      <c r="G108" s="836">
        <f t="shared" ref="G108:K108" si="104">G110+G109</f>
        <v>0</v>
      </c>
      <c r="H108" s="275">
        <f t="shared" si="104"/>
        <v>0</v>
      </c>
      <c r="I108" s="838">
        <f t="shared" si="104"/>
        <v>6830837</v>
      </c>
      <c r="J108" s="26">
        <f t="shared" si="93"/>
        <v>100</v>
      </c>
      <c r="K108" s="836">
        <f t="shared" si="104"/>
        <v>0</v>
      </c>
      <c r="L108" s="258">
        <v>0</v>
      </c>
      <c r="M108" s="778">
        <f t="shared" si="100"/>
        <v>0</v>
      </c>
      <c r="N108" s="3101"/>
      <c r="O108" s="218"/>
    </row>
    <row r="109" spans="1:15" s="266" customFormat="1" x14ac:dyDescent="0.2">
      <c r="A109" s="3132"/>
      <c r="B109" s="243" t="s">
        <v>9</v>
      </c>
      <c r="C109" s="837"/>
      <c r="D109" s="244">
        <f>++E109+F109+G109+H109</f>
        <v>24600</v>
      </c>
      <c r="E109" s="779">
        <v>24600</v>
      </c>
      <c r="F109" s="839">
        <v>0</v>
      </c>
      <c r="G109" s="779">
        <v>0</v>
      </c>
      <c r="H109" s="796">
        <v>0</v>
      </c>
      <c r="I109" s="274">
        <f>E109+F109+K109</f>
        <v>24600</v>
      </c>
      <c r="J109" s="780">
        <f t="shared" si="93"/>
        <v>100</v>
      </c>
      <c r="K109" s="840">
        <v>0</v>
      </c>
      <c r="L109" s="782">
        <v>0</v>
      </c>
      <c r="M109" s="247">
        <f t="shared" si="100"/>
        <v>0</v>
      </c>
      <c r="N109" s="3101"/>
      <c r="O109" s="218"/>
    </row>
    <row r="110" spans="1:15" s="268" customFormat="1" ht="13.5" thickBot="1" x14ac:dyDescent="0.25">
      <c r="A110" s="3133"/>
      <c r="B110" s="243" t="s">
        <v>11</v>
      </c>
      <c r="C110" s="837"/>
      <c r="D110" s="244">
        <f>++E110+F110+G110+H110</f>
        <v>6806237</v>
      </c>
      <c r="E110" s="841">
        <f>4171661+2195207</f>
        <v>6366868</v>
      </c>
      <c r="F110" s="841">
        <v>439369</v>
      </c>
      <c r="G110" s="841">
        <v>0</v>
      </c>
      <c r="H110" s="248">
        <v>0</v>
      </c>
      <c r="I110" s="274">
        <f>E110+F110+K110</f>
        <v>6806237</v>
      </c>
      <c r="J110" s="249">
        <f t="shared" si="93"/>
        <v>100</v>
      </c>
      <c r="K110" s="841">
        <v>0</v>
      </c>
      <c r="L110" s="251">
        <v>0</v>
      </c>
      <c r="M110" s="247">
        <f t="shared" si="100"/>
        <v>0</v>
      </c>
      <c r="N110" s="3101"/>
      <c r="O110" s="218"/>
    </row>
    <row r="111" spans="1:15" s="266" customFormat="1" ht="12" customHeight="1" x14ac:dyDescent="0.2">
      <c r="A111" s="3220"/>
      <c r="B111" s="253" t="s">
        <v>12</v>
      </c>
      <c r="C111" s="3100" t="s">
        <v>34</v>
      </c>
      <c r="D111" s="277">
        <f>+D113+D112</f>
        <v>28411717</v>
      </c>
      <c r="E111" s="278">
        <f>+E113+E112</f>
        <v>26577632</v>
      </c>
      <c r="F111" s="842">
        <f>+F113+F112</f>
        <v>1834085</v>
      </c>
      <c r="G111" s="842">
        <f>+G112+G113</f>
        <v>0</v>
      </c>
      <c r="H111" s="279">
        <f>+H113+H112</f>
        <v>0</v>
      </c>
      <c r="I111" s="277">
        <f>+I112+I113</f>
        <v>28411717</v>
      </c>
      <c r="J111" s="26">
        <f t="shared" si="93"/>
        <v>100</v>
      </c>
      <c r="K111" s="278">
        <f>+K113+K112</f>
        <v>0</v>
      </c>
      <c r="L111" s="258">
        <v>0</v>
      </c>
      <c r="M111" s="778">
        <f t="shared" si="100"/>
        <v>0</v>
      </c>
      <c r="N111" s="3101"/>
      <c r="O111" s="218"/>
    </row>
    <row r="112" spans="1:15" s="266" customFormat="1" ht="12" hidden="1" customHeight="1" x14ac:dyDescent="0.2">
      <c r="A112" s="3132"/>
      <c r="B112" s="243" t="s">
        <v>11</v>
      </c>
      <c r="C112" s="3100"/>
      <c r="D112" s="783">
        <f>+E112+F112+G112+H112</f>
        <v>0</v>
      </c>
      <c r="E112" s="260">
        <v>0</v>
      </c>
      <c r="F112" s="250">
        <v>0</v>
      </c>
      <c r="G112" s="250">
        <v>0</v>
      </c>
      <c r="H112" s="248">
        <v>0</v>
      </c>
      <c r="I112" s="784">
        <f>E112+F112+K112</f>
        <v>0</v>
      </c>
      <c r="J112" s="780" t="e">
        <f t="shared" si="93"/>
        <v>#DIV/0!</v>
      </c>
      <c r="K112" s="250">
        <v>0</v>
      </c>
      <c r="L112" s="782" t="e">
        <f t="shared" si="82"/>
        <v>#DIV/0!</v>
      </c>
      <c r="M112" s="247">
        <f t="shared" si="100"/>
        <v>0</v>
      </c>
      <c r="N112" s="3101"/>
      <c r="O112" s="218"/>
    </row>
    <row r="113" spans="1:15" s="266" customFormat="1" ht="12" customHeight="1" thickBot="1" x14ac:dyDescent="0.25">
      <c r="A113" s="3133"/>
      <c r="B113" s="280" t="s">
        <v>14</v>
      </c>
      <c r="C113" s="3104"/>
      <c r="D113" s="262">
        <f>+E113+F113+G113+H113</f>
        <v>28411717</v>
      </c>
      <c r="E113" s="843">
        <f>3729688+22847944</f>
        <v>26577632</v>
      </c>
      <c r="F113" s="843">
        <v>1834085</v>
      </c>
      <c r="G113" s="843">
        <v>0</v>
      </c>
      <c r="H113" s="844">
        <v>0</v>
      </c>
      <c r="I113" s="845">
        <f>E113+F113+K113</f>
        <v>28411717</v>
      </c>
      <c r="J113" s="270">
        <f t="shared" si="93"/>
        <v>100</v>
      </c>
      <c r="K113" s="843">
        <v>0</v>
      </c>
      <c r="L113" s="830">
        <v>0</v>
      </c>
      <c r="M113" s="247">
        <f t="shared" si="100"/>
        <v>0</v>
      </c>
      <c r="N113" s="3104"/>
      <c r="O113" s="218"/>
    </row>
    <row r="114" spans="1:15" s="266" customFormat="1" ht="27" customHeight="1" x14ac:dyDescent="0.2">
      <c r="A114" s="3130" t="s">
        <v>43</v>
      </c>
      <c r="B114" s="831" t="s">
        <v>241</v>
      </c>
      <c r="C114" s="236" t="s">
        <v>166</v>
      </c>
      <c r="D114" s="237"/>
      <c r="E114" s="238"/>
      <c r="F114" s="238"/>
      <c r="G114" s="238"/>
      <c r="H114" s="239"/>
      <c r="I114" s="237"/>
      <c r="J114" s="238"/>
      <c r="K114" s="238"/>
      <c r="L114" s="240"/>
      <c r="M114" s="240"/>
      <c r="N114" s="769" t="s">
        <v>36</v>
      </c>
      <c r="O114" s="218"/>
    </row>
    <row r="115" spans="1:15" s="266" customFormat="1" x14ac:dyDescent="0.2">
      <c r="A115" s="3131"/>
      <c r="B115" s="846" t="s">
        <v>2</v>
      </c>
      <c r="C115" s="847"/>
      <c r="D115" s="807">
        <f t="shared" ref="D115:H115" si="105">+D116+D120</f>
        <v>39011742</v>
      </c>
      <c r="E115" s="808">
        <f t="shared" si="105"/>
        <v>38996642</v>
      </c>
      <c r="F115" s="808">
        <f>+F116+F120</f>
        <v>15100</v>
      </c>
      <c r="G115" s="808">
        <f t="shared" si="105"/>
        <v>0</v>
      </c>
      <c r="H115" s="848">
        <f t="shared" si="105"/>
        <v>0</v>
      </c>
      <c r="I115" s="807">
        <f>+I116+I120</f>
        <v>39011742</v>
      </c>
      <c r="J115" s="267">
        <f t="shared" si="93"/>
        <v>100</v>
      </c>
      <c r="K115" s="808">
        <f>+K116+K120</f>
        <v>0</v>
      </c>
      <c r="L115" s="300">
        <v>0</v>
      </c>
      <c r="M115" s="241">
        <f>+K115-G115</f>
        <v>0</v>
      </c>
      <c r="N115" s="3191" t="s">
        <v>37</v>
      </c>
      <c r="O115" s="218"/>
    </row>
    <row r="116" spans="1:15" s="266" customFormat="1" ht="13.5" customHeight="1" x14ac:dyDescent="0.2">
      <c r="A116" s="3131"/>
      <c r="B116" s="849" t="s">
        <v>17</v>
      </c>
      <c r="C116" s="3216" t="s">
        <v>38</v>
      </c>
      <c r="D116" s="812">
        <f t="shared" ref="D116:I116" si="106">+D117+D119+D118</f>
        <v>19717042</v>
      </c>
      <c r="E116" s="813">
        <f t="shared" si="106"/>
        <v>19701942</v>
      </c>
      <c r="F116" s="813">
        <f>+F117+F119+F118</f>
        <v>15100</v>
      </c>
      <c r="G116" s="813">
        <f t="shared" si="106"/>
        <v>0</v>
      </c>
      <c r="H116" s="850">
        <f t="shared" si="106"/>
        <v>0</v>
      </c>
      <c r="I116" s="812">
        <f t="shared" si="106"/>
        <v>19717042</v>
      </c>
      <c r="J116" s="26">
        <f t="shared" si="93"/>
        <v>100</v>
      </c>
      <c r="K116" s="851">
        <f>+K117+K119+K118</f>
        <v>0</v>
      </c>
      <c r="L116" s="258">
        <v>0</v>
      </c>
      <c r="M116" s="778">
        <f>+K116-G116</f>
        <v>0</v>
      </c>
      <c r="N116" s="3187"/>
      <c r="O116" s="218"/>
    </row>
    <row r="117" spans="1:15" s="266" customFormat="1" ht="13.5" customHeight="1" x14ac:dyDescent="0.2">
      <c r="A117" s="3131"/>
      <c r="B117" s="243" t="s">
        <v>4</v>
      </c>
      <c r="C117" s="3216"/>
      <c r="D117" s="244">
        <f>++E117+F117+G117+H117</f>
        <v>389029</v>
      </c>
      <c r="E117" s="779">
        <f>67018+38383+20465+248063</f>
        <v>373929</v>
      </c>
      <c r="F117" s="779">
        <v>15100</v>
      </c>
      <c r="G117" s="245">
        <v>0</v>
      </c>
      <c r="H117" s="269">
        <v>0</v>
      </c>
      <c r="I117" s="274">
        <f>E117+F117+K117</f>
        <v>389029</v>
      </c>
      <c r="J117" s="780">
        <f t="shared" si="93"/>
        <v>100</v>
      </c>
      <c r="K117" s="779"/>
      <c r="L117" s="782">
        <v>0</v>
      </c>
      <c r="M117" s="247">
        <f>+K117-G117</f>
        <v>0</v>
      </c>
      <c r="N117" s="3187"/>
      <c r="O117" s="218"/>
    </row>
    <row r="118" spans="1:15" s="266" customFormat="1" ht="13.5" customHeight="1" x14ac:dyDescent="0.2">
      <c r="A118" s="3131"/>
      <c r="B118" s="243" t="s">
        <v>9</v>
      </c>
      <c r="C118" s="3216"/>
      <c r="D118" s="244">
        <f>++E118+F118+G118+H118</f>
        <v>33313</v>
      </c>
      <c r="E118" s="779">
        <v>33313</v>
      </c>
      <c r="F118" s="245">
        <v>0</v>
      </c>
      <c r="G118" s="260">
        <v>0</v>
      </c>
      <c r="H118" s="248">
        <v>0</v>
      </c>
      <c r="I118" s="274">
        <f>E118+F118+K118</f>
        <v>33313</v>
      </c>
      <c r="J118" s="249">
        <f t="shared" si="93"/>
        <v>100</v>
      </c>
      <c r="K118" s="260">
        <v>0</v>
      </c>
      <c r="L118" s="251">
        <v>0</v>
      </c>
      <c r="M118" s="247">
        <f t="shared" ref="M118:M119" si="107">+K118-G118</f>
        <v>0</v>
      </c>
      <c r="N118" s="3187"/>
      <c r="O118" s="218"/>
    </row>
    <row r="119" spans="1:15" s="268" customFormat="1" ht="13.5" customHeight="1" x14ac:dyDescent="0.2">
      <c r="A119" s="3131"/>
      <c r="B119" s="243" t="s">
        <v>11</v>
      </c>
      <c r="C119" s="3216"/>
      <c r="D119" s="244">
        <f>+E119+F119+G119+H119</f>
        <v>19294700</v>
      </c>
      <c r="E119" s="245">
        <f>17442023+1852677</f>
        <v>19294700</v>
      </c>
      <c r="F119" s="245">
        <v>0</v>
      </c>
      <c r="G119" s="250">
        <v>0</v>
      </c>
      <c r="H119" s="248">
        <v>0</v>
      </c>
      <c r="I119" s="274">
        <f>E119+F119+K119</f>
        <v>19294700</v>
      </c>
      <c r="J119" s="780">
        <f t="shared" si="93"/>
        <v>100</v>
      </c>
      <c r="K119" s="250">
        <v>0</v>
      </c>
      <c r="L119" s="782">
        <v>0</v>
      </c>
      <c r="M119" s="247">
        <f t="shared" si="107"/>
        <v>0</v>
      </c>
      <c r="N119" s="3187"/>
      <c r="O119" s="218"/>
    </row>
    <row r="120" spans="1:15" s="266" customFormat="1" ht="13.5" customHeight="1" x14ac:dyDescent="0.2">
      <c r="A120" s="3131"/>
      <c r="B120" s="852" t="s">
        <v>12</v>
      </c>
      <c r="C120" s="3216"/>
      <c r="D120" s="254">
        <f t="shared" ref="D120:I120" si="108">+D121+D122</f>
        <v>19294700</v>
      </c>
      <c r="E120" s="255">
        <f t="shared" si="108"/>
        <v>19294700</v>
      </c>
      <c r="F120" s="255">
        <f>+F121+F122</f>
        <v>0</v>
      </c>
      <c r="G120" s="257">
        <f t="shared" si="108"/>
        <v>0</v>
      </c>
      <c r="H120" s="256">
        <f t="shared" si="108"/>
        <v>0</v>
      </c>
      <c r="I120" s="254">
        <f t="shared" si="108"/>
        <v>19294700</v>
      </c>
      <c r="J120" s="26">
        <f t="shared" si="93"/>
        <v>100</v>
      </c>
      <c r="K120" s="257">
        <f>+K121+K122</f>
        <v>0</v>
      </c>
      <c r="L120" s="258">
        <v>0</v>
      </c>
      <c r="M120" s="778">
        <f>+K120-G120</f>
        <v>0</v>
      </c>
      <c r="N120" s="3187"/>
      <c r="O120" s="218"/>
    </row>
    <row r="121" spans="1:15" s="266" customFormat="1" ht="13.5" hidden="1" customHeight="1" x14ac:dyDescent="0.2">
      <c r="A121" s="3131"/>
      <c r="B121" s="243" t="s">
        <v>11</v>
      </c>
      <c r="C121" s="3216"/>
      <c r="D121" s="783">
        <f>+E121+F121+G121+H121</f>
        <v>0</v>
      </c>
      <c r="E121" s="250">
        <v>0</v>
      </c>
      <c r="F121" s="260">
        <v>0</v>
      </c>
      <c r="G121" s="260">
        <v>0</v>
      </c>
      <c r="H121" s="269">
        <v>0</v>
      </c>
      <c r="I121" s="784">
        <f>E121+F121+K121</f>
        <v>0</v>
      </c>
      <c r="J121" s="780" t="e">
        <f t="shared" si="93"/>
        <v>#DIV/0!</v>
      </c>
      <c r="K121" s="260">
        <v>0</v>
      </c>
      <c r="L121" s="782" t="e">
        <f t="shared" ref="L121:L150" si="109">K121/G121*100</f>
        <v>#DIV/0!</v>
      </c>
      <c r="M121" s="247">
        <f>+K121-G121</f>
        <v>0</v>
      </c>
      <c r="N121" s="3187"/>
      <c r="O121" s="218"/>
    </row>
    <row r="122" spans="1:15" s="266" customFormat="1" ht="13.5" customHeight="1" thickBot="1" x14ac:dyDescent="0.25">
      <c r="A122" s="3205"/>
      <c r="B122" s="243" t="s">
        <v>14</v>
      </c>
      <c r="C122" s="3216"/>
      <c r="D122" s="244">
        <f>+E122+F122+G122+H122</f>
        <v>19294700</v>
      </c>
      <c r="E122" s="779">
        <f>231800+364780+7622529+11075591</f>
        <v>19294700</v>
      </c>
      <c r="F122" s="245">
        <v>0</v>
      </c>
      <c r="G122" s="250">
        <v>0</v>
      </c>
      <c r="H122" s="248">
        <v>0</v>
      </c>
      <c r="I122" s="274">
        <f>E122+F122+K122</f>
        <v>19294700</v>
      </c>
      <c r="J122" s="249">
        <f t="shared" si="93"/>
        <v>100</v>
      </c>
      <c r="K122" s="250">
        <v>0</v>
      </c>
      <c r="L122" s="251">
        <v>0</v>
      </c>
      <c r="M122" s="281">
        <f t="shared" si="88"/>
        <v>0</v>
      </c>
      <c r="N122" s="3187"/>
      <c r="O122" s="218"/>
    </row>
    <row r="123" spans="1:15" s="266" customFormat="1" ht="13.5" customHeight="1" x14ac:dyDescent="0.2">
      <c r="A123" s="3130"/>
      <c r="B123" s="220" t="s">
        <v>16</v>
      </c>
      <c r="C123" s="25"/>
      <c r="D123" s="233">
        <f t="shared" ref="D123:I123" si="110">+D127+D124</f>
        <v>38622713</v>
      </c>
      <c r="E123" s="234">
        <f t="shared" ref="E123" si="111">+E127+E124</f>
        <v>18324385</v>
      </c>
      <c r="F123" s="234">
        <f>+F127+F124</f>
        <v>2007256</v>
      </c>
      <c r="G123" s="234">
        <f t="shared" si="110"/>
        <v>0</v>
      </c>
      <c r="H123" s="261">
        <f t="shared" si="110"/>
        <v>0</v>
      </c>
      <c r="I123" s="233">
        <f t="shared" si="110"/>
        <v>38622713</v>
      </c>
      <c r="J123" s="743">
        <f t="shared" si="93"/>
        <v>100</v>
      </c>
      <c r="K123" s="234">
        <f>+K127+K124</f>
        <v>0</v>
      </c>
      <c r="L123" s="824">
        <v>0</v>
      </c>
      <c r="M123" s="241">
        <f t="shared" ref="M123:M129" si="112">+K123-G123</f>
        <v>0</v>
      </c>
      <c r="N123" s="3101" t="s">
        <v>39</v>
      </c>
      <c r="O123" s="218"/>
    </row>
    <row r="124" spans="1:15" s="266" customFormat="1" ht="13.5" customHeight="1" x14ac:dyDescent="0.2">
      <c r="A124" s="3131"/>
      <c r="B124" s="849" t="s">
        <v>17</v>
      </c>
      <c r="C124" s="3216" t="s">
        <v>34</v>
      </c>
      <c r="D124" s="790">
        <f t="shared" ref="D124:I124" si="113">D126+D125</f>
        <v>19328013</v>
      </c>
      <c r="E124" s="836">
        <f t="shared" ref="E124" si="114">E126+E125</f>
        <v>18324385</v>
      </c>
      <c r="F124" s="836">
        <f>F126+F125</f>
        <v>1003628</v>
      </c>
      <c r="G124" s="836">
        <f t="shared" si="113"/>
        <v>0</v>
      </c>
      <c r="H124" s="850">
        <f t="shared" si="113"/>
        <v>0</v>
      </c>
      <c r="I124" s="790">
        <f t="shared" si="113"/>
        <v>19328013</v>
      </c>
      <c r="J124" s="26">
        <f t="shared" si="93"/>
        <v>100</v>
      </c>
      <c r="K124" s="773">
        <f>K126+K125</f>
        <v>0</v>
      </c>
      <c r="L124" s="258">
        <v>0</v>
      </c>
      <c r="M124" s="778">
        <f t="shared" si="112"/>
        <v>0</v>
      </c>
      <c r="N124" s="3101"/>
      <c r="O124" s="218"/>
    </row>
    <row r="125" spans="1:15" s="266" customFormat="1" ht="13.5" customHeight="1" x14ac:dyDescent="0.2">
      <c r="A125" s="3131"/>
      <c r="B125" s="243" t="s">
        <v>9</v>
      </c>
      <c r="C125" s="3216"/>
      <c r="D125" s="244">
        <f>+E125+F125+G125+H125</f>
        <v>33313</v>
      </c>
      <c r="E125" s="853">
        <v>33313</v>
      </c>
      <c r="F125" s="854">
        <v>0</v>
      </c>
      <c r="G125" s="853">
        <v>0</v>
      </c>
      <c r="H125" s="826">
        <v>0</v>
      </c>
      <c r="I125" s="274">
        <f>E125+F125+K125</f>
        <v>33313</v>
      </c>
      <c r="J125" s="780">
        <f t="shared" si="93"/>
        <v>100</v>
      </c>
      <c r="K125" s="840">
        <v>0</v>
      </c>
      <c r="L125" s="782">
        <v>0</v>
      </c>
      <c r="M125" s="247">
        <f t="shared" si="112"/>
        <v>0</v>
      </c>
      <c r="N125" s="3101"/>
      <c r="O125" s="218"/>
    </row>
    <row r="126" spans="1:15" s="268" customFormat="1" ht="13.5" customHeight="1" x14ac:dyDescent="0.2">
      <c r="A126" s="3131"/>
      <c r="B126" s="243" t="s">
        <v>11</v>
      </c>
      <c r="C126" s="3216"/>
      <c r="D126" s="244">
        <f>+E126+F126+G126+H126</f>
        <v>19294700</v>
      </c>
      <c r="E126" s="853">
        <f>17447268+843804</f>
        <v>18291072</v>
      </c>
      <c r="F126" s="853">
        <v>1003628</v>
      </c>
      <c r="G126" s="853">
        <v>0</v>
      </c>
      <c r="H126" s="269">
        <v>0</v>
      </c>
      <c r="I126" s="274">
        <f>E126+F126+K126</f>
        <v>19294700</v>
      </c>
      <c r="J126" s="249">
        <f t="shared" si="93"/>
        <v>100</v>
      </c>
      <c r="K126" s="779"/>
      <c r="L126" s="251">
        <v>0</v>
      </c>
      <c r="M126" s="247">
        <f t="shared" si="112"/>
        <v>0</v>
      </c>
      <c r="N126" s="3101"/>
      <c r="O126" s="218"/>
    </row>
    <row r="127" spans="1:15" s="266" customFormat="1" ht="13.5" customHeight="1" x14ac:dyDescent="0.2">
      <c r="A127" s="3131"/>
      <c r="B127" s="852" t="s">
        <v>12</v>
      </c>
      <c r="C127" s="3216"/>
      <c r="D127" s="277">
        <f>+D128+D129</f>
        <v>19294700</v>
      </c>
      <c r="E127" s="278">
        <v>0</v>
      </c>
      <c r="F127" s="278">
        <f>+F128+F129</f>
        <v>1003628</v>
      </c>
      <c r="G127" s="278">
        <f>+G128+G129</f>
        <v>0</v>
      </c>
      <c r="H127" s="282">
        <f>+H128+H129</f>
        <v>0</v>
      </c>
      <c r="I127" s="277">
        <f>+I128+I129</f>
        <v>19294700</v>
      </c>
      <c r="J127" s="26">
        <f t="shared" si="93"/>
        <v>100</v>
      </c>
      <c r="K127" s="278">
        <f>+K128+K129</f>
        <v>0</v>
      </c>
      <c r="L127" s="258">
        <v>0</v>
      </c>
      <c r="M127" s="778">
        <f t="shared" si="112"/>
        <v>0</v>
      </c>
      <c r="N127" s="3101"/>
      <c r="O127" s="218"/>
    </row>
    <row r="128" spans="1:15" s="266" customFormat="1" ht="13.5" hidden="1" customHeight="1" x14ac:dyDescent="0.2">
      <c r="A128" s="3131"/>
      <c r="B128" s="243" t="s">
        <v>11</v>
      </c>
      <c r="C128" s="3216"/>
      <c r="D128" s="783">
        <f>+E128+F128+G128+H128</f>
        <v>0</v>
      </c>
      <c r="E128" s="260">
        <v>0</v>
      </c>
      <c r="F128" s="260">
        <v>0</v>
      </c>
      <c r="G128" s="260">
        <v>0</v>
      </c>
      <c r="H128" s="269">
        <v>0</v>
      </c>
      <c r="I128" s="784">
        <f>E128+F128+K128</f>
        <v>0</v>
      </c>
      <c r="J128" s="780" t="e">
        <f t="shared" si="93"/>
        <v>#DIV/0!</v>
      </c>
      <c r="K128" s="250">
        <v>0</v>
      </c>
      <c r="L128" s="782" t="e">
        <f t="shared" si="109"/>
        <v>#DIV/0!</v>
      </c>
      <c r="M128" s="247">
        <f t="shared" si="112"/>
        <v>0</v>
      </c>
      <c r="N128" s="3101"/>
      <c r="O128" s="218"/>
    </row>
    <row r="129" spans="1:15" s="266" customFormat="1" ht="13.5" customHeight="1" thickBot="1" x14ac:dyDescent="0.25">
      <c r="A129" s="3205"/>
      <c r="B129" s="280" t="s">
        <v>14</v>
      </c>
      <c r="C129" s="3217"/>
      <c r="D129" s="262">
        <f>+E129+F129+G129+H129</f>
        <v>19294700</v>
      </c>
      <c r="E129" s="283">
        <v>18291072</v>
      </c>
      <c r="F129" s="283">
        <v>1003628</v>
      </c>
      <c r="G129" s="283">
        <v>0</v>
      </c>
      <c r="H129" s="855">
        <v>0</v>
      </c>
      <c r="I129" s="845">
        <f>E129+F129+K129</f>
        <v>19294700</v>
      </c>
      <c r="J129" s="270">
        <f t="shared" si="93"/>
        <v>100</v>
      </c>
      <c r="K129" s="263"/>
      <c r="L129" s="830">
        <v>0</v>
      </c>
      <c r="M129" s="263">
        <f t="shared" si="112"/>
        <v>0</v>
      </c>
      <c r="N129" s="3104"/>
      <c r="O129" s="218"/>
    </row>
    <row r="130" spans="1:15" s="266" customFormat="1" ht="28.5" customHeight="1" x14ac:dyDescent="0.2">
      <c r="A130" s="3211" t="s">
        <v>44</v>
      </c>
      <c r="B130" s="856" t="s">
        <v>242</v>
      </c>
      <c r="C130" s="857" t="s">
        <v>166</v>
      </c>
      <c r="D130" s="858"/>
      <c r="E130" s="859"/>
      <c r="F130" s="859"/>
      <c r="G130" s="859"/>
      <c r="H130" s="860"/>
      <c r="I130" s="858"/>
      <c r="J130" s="859"/>
      <c r="K130" s="859"/>
      <c r="L130" s="861"/>
      <c r="M130" s="861"/>
      <c r="N130" s="769" t="s">
        <v>36</v>
      </c>
      <c r="O130" s="218"/>
    </row>
    <row r="131" spans="1:15" s="266" customFormat="1" ht="14.25" customHeight="1" x14ac:dyDescent="0.2">
      <c r="A131" s="3124"/>
      <c r="B131" s="846" t="s">
        <v>2</v>
      </c>
      <c r="C131" s="25"/>
      <c r="D131" s="807">
        <f t="shared" ref="D131:I131" si="115">+D132+D135</f>
        <v>15892643</v>
      </c>
      <c r="E131" s="808">
        <f t="shared" si="115"/>
        <v>15726600</v>
      </c>
      <c r="F131" s="808">
        <f>+F132+F135</f>
        <v>46043</v>
      </c>
      <c r="G131" s="808">
        <f t="shared" si="115"/>
        <v>120000</v>
      </c>
      <c r="H131" s="808">
        <f t="shared" si="115"/>
        <v>0</v>
      </c>
      <c r="I131" s="807">
        <f t="shared" si="115"/>
        <v>15772643</v>
      </c>
      <c r="J131" s="267">
        <f t="shared" si="93"/>
        <v>99.244933646341892</v>
      </c>
      <c r="K131" s="808">
        <f>+K132+K135</f>
        <v>0</v>
      </c>
      <c r="L131" s="271">
        <f t="shared" si="109"/>
        <v>0</v>
      </c>
      <c r="M131" s="241">
        <f t="shared" ref="M131:M136" si="116">+K131-G131</f>
        <v>-120000</v>
      </c>
      <c r="N131" s="3191" t="s">
        <v>37</v>
      </c>
      <c r="O131" s="218"/>
    </row>
    <row r="132" spans="1:15" s="266" customFormat="1" ht="14.25" customHeight="1" x14ac:dyDescent="0.2">
      <c r="A132" s="3124"/>
      <c r="B132" s="849" t="s">
        <v>17</v>
      </c>
      <c r="C132" s="3100" t="s">
        <v>38</v>
      </c>
      <c r="D132" s="833">
        <f t="shared" ref="D132:I132" si="117">+D133+D134</f>
        <v>8085030</v>
      </c>
      <c r="E132" s="814">
        <f t="shared" si="117"/>
        <v>7918987</v>
      </c>
      <c r="F132" s="814">
        <f>+F133+F134</f>
        <v>46043</v>
      </c>
      <c r="G132" s="814">
        <f t="shared" si="117"/>
        <v>120000</v>
      </c>
      <c r="H132" s="814">
        <f t="shared" si="117"/>
        <v>0</v>
      </c>
      <c r="I132" s="833">
        <f t="shared" si="117"/>
        <v>7965030</v>
      </c>
      <c r="J132" s="26">
        <f t="shared" si="93"/>
        <v>98.515775451668091</v>
      </c>
      <c r="K132" s="814">
        <f>+K133+K134</f>
        <v>0</v>
      </c>
      <c r="L132" s="834">
        <f t="shared" si="109"/>
        <v>0</v>
      </c>
      <c r="M132" s="778">
        <f t="shared" si="116"/>
        <v>-120000</v>
      </c>
      <c r="N132" s="3187"/>
      <c r="O132" s="218"/>
    </row>
    <row r="133" spans="1:15" s="266" customFormat="1" ht="14.25" customHeight="1" x14ac:dyDescent="0.2">
      <c r="A133" s="3124"/>
      <c r="B133" s="243" t="s">
        <v>4</v>
      </c>
      <c r="C133" s="3100"/>
      <c r="D133" s="244">
        <f>+E133+F133+G133+H133</f>
        <v>277417</v>
      </c>
      <c r="E133" s="779">
        <f>15437+692+1402+93843</f>
        <v>111374</v>
      </c>
      <c r="F133" s="245">
        <v>46043</v>
      </c>
      <c r="G133" s="245">
        <v>120000</v>
      </c>
      <c r="H133" s="245">
        <v>0</v>
      </c>
      <c r="I133" s="274">
        <f>E133+F133+K133</f>
        <v>157417</v>
      </c>
      <c r="J133" s="780">
        <f t="shared" si="93"/>
        <v>56.743818871950893</v>
      </c>
      <c r="K133" s="245"/>
      <c r="L133" s="781">
        <f t="shared" si="109"/>
        <v>0</v>
      </c>
      <c r="M133" s="247">
        <f t="shared" si="116"/>
        <v>-120000</v>
      </c>
      <c r="N133" s="3187"/>
      <c r="O133" s="218"/>
    </row>
    <row r="134" spans="1:15" s="268" customFormat="1" ht="14.25" customHeight="1" thickBot="1" x14ac:dyDescent="0.25">
      <c r="A134" s="3212"/>
      <c r="B134" s="243" t="s">
        <v>11</v>
      </c>
      <c r="C134" s="3100"/>
      <c r="D134" s="244">
        <f>+E134+F134+G134+H134</f>
        <v>7807613</v>
      </c>
      <c r="E134" s="245">
        <f>170850+6032253+1604510</f>
        <v>7807613</v>
      </c>
      <c r="F134" s="245">
        <v>0</v>
      </c>
      <c r="G134" s="260">
        <v>0</v>
      </c>
      <c r="H134" s="248">
        <v>0</v>
      </c>
      <c r="I134" s="274">
        <f>E134+F134+K134</f>
        <v>7807613</v>
      </c>
      <c r="J134" s="249">
        <f t="shared" si="93"/>
        <v>100</v>
      </c>
      <c r="K134" s="260">
        <v>0</v>
      </c>
      <c r="L134" s="251">
        <v>0</v>
      </c>
      <c r="M134" s="247">
        <f t="shared" si="116"/>
        <v>0</v>
      </c>
      <c r="N134" s="3207"/>
      <c r="O134" s="218"/>
    </row>
    <row r="135" spans="1:15" s="266" customFormat="1" ht="14.25" customHeight="1" x14ac:dyDescent="0.2">
      <c r="A135" s="3123"/>
      <c r="B135" s="852" t="s">
        <v>12</v>
      </c>
      <c r="C135" s="3100"/>
      <c r="D135" s="277">
        <f t="shared" ref="D135:H135" si="118">+D136+D137</f>
        <v>7807613</v>
      </c>
      <c r="E135" s="278">
        <f t="shared" si="118"/>
        <v>7807613</v>
      </c>
      <c r="F135" s="278">
        <f>+F136+F137</f>
        <v>0</v>
      </c>
      <c r="G135" s="284">
        <f t="shared" si="118"/>
        <v>0</v>
      </c>
      <c r="H135" s="282">
        <f t="shared" si="118"/>
        <v>0</v>
      </c>
      <c r="I135" s="833">
        <f>I136+I137</f>
        <v>7807613</v>
      </c>
      <c r="J135" s="26">
        <f t="shared" si="93"/>
        <v>100</v>
      </c>
      <c r="K135" s="284">
        <f>+K136+K137</f>
        <v>0</v>
      </c>
      <c r="L135" s="258">
        <v>0</v>
      </c>
      <c r="M135" s="778">
        <f t="shared" si="116"/>
        <v>0</v>
      </c>
      <c r="N135" s="3151"/>
      <c r="O135" s="218"/>
    </row>
    <row r="136" spans="1:15" s="266" customFormat="1" ht="14.25" hidden="1" customHeight="1" x14ac:dyDescent="0.2">
      <c r="A136" s="3124"/>
      <c r="B136" s="243" t="s">
        <v>11</v>
      </c>
      <c r="C136" s="3100"/>
      <c r="D136" s="783">
        <f>+E136+F136+G136+H136</f>
        <v>0</v>
      </c>
      <c r="E136" s="250">
        <v>0</v>
      </c>
      <c r="F136" s="260">
        <v>0</v>
      </c>
      <c r="G136" s="260">
        <v>0</v>
      </c>
      <c r="H136" s="269">
        <v>0</v>
      </c>
      <c r="I136" s="784">
        <f>E136+F136+K136</f>
        <v>0</v>
      </c>
      <c r="J136" s="780" t="e">
        <f t="shared" si="93"/>
        <v>#DIV/0!</v>
      </c>
      <c r="K136" s="260">
        <v>0</v>
      </c>
      <c r="L136" s="782" t="e">
        <f t="shared" si="109"/>
        <v>#DIV/0!</v>
      </c>
      <c r="M136" s="247">
        <f t="shared" si="116"/>
        <v>0</v>
      </c>
      <c r="N136" s="3152"/>
      <c r="O136" s="218"/>
    </row>
    <row r="137" spans="1:15" s="266" customFormat="1" ht="14.25" customHeight="1" x14ac:dyDescent="0.2">
      <c r="A137" s="3124"/>
      <c r="B137" s="243" t="s">
        <v>14</v>
      </c>
      <c r="C137" s="3100"/>
      <c r="D137" s="244">
        <f>+E137+F137+G137+H137</f>
        <v>7807613</v>
      </c>
      <c r="E137" s="245">
        <f>170850+2483963+5152800</f>
        <v>7807613</v>
      </c>
      <c r="F137" s="245">
        <v>0</v>
      </c>
      <c r="G137" s="250">
        <v>0</v>
      </c>
      <c r="H137" s="794">
        <v>0</v>
      </c>
      <c r="I137" s="274">
        <f>E137+F137+K137</f>
        <v>7807613</v>
      </c>
      <c r="J137" s="249">
        <f t="shared" si="93"/>
        <v>100</v>
      </c>
      <c r="K137" s="260">
        <v>0</v>
      </c>
      <c r="L137" s="251">
        <v>0</v>
      </c>
      <c r="M137" s="281">
        <f t="shared" ref="M137" si="119">+K137-G137*0.5</f>
        <v>0</v>
      </c>
      <c r="N137" s="3213"/>
      <c r="O137" s="218"/>
    </row>
    <row r="138" spans="1:15" s="266" customFormat="1" ht="14.25" customHeight="1" x14ac:dyDescent="0.2">
      <c r="A138" s="3124"/>
      <c r="B138" s="220" t="s">
        <v>16</v>
      </c>
      <c r="C138" s="25"/>
      <c r="D138" s="233">
        <f t="shared" ref="D138:I138" si="120">+D141+D139</f>
        <v>15615226</v>
      </c>
      <c r="E138" s="234">
        <f t="shared" ref="E138" si="121">+E141+E139</f>
        <v>14766898</v>
      </c>
      <c r="F138" s="234">
        <f>+F141+F139</f>
        <v>848328</v>
      </c>
      <c r="G138" s="234">
        <f t="shared" si="120"/>
        <v>0</v>
      </c>
      <c r="H138" s="261">
        <f t="shared" si="120"/>
        <v>0</v>
      </c>
      <c r="I138" s="233">
        <f t="shared" si="120"/>
        <v>15615226</v>
      </c>
      <c r="J138" s="771">
        <f t="shared" si="93"/>
        <v>100</v>
      </c>
      <c r="K138" s="234">
        <f>+K141+K139</f>
        <v>0</v>
      </c>
      <c r="L138" s="824">
        <v>0</v>
      </c>
      <c r="M138" s="241">
        <f t="shared" ref="M138:M143" si="122">+K138-G138</f>
        <v>0</v>
      </c>
      <c r="N138" s="3102" t="s">
        <v>39</v>
      </c>
      <c r="O138" s="218"/>
    </row>
    <row r="139" spans="1:15" s="266" customFormat="1" ht="14.25" customHeight="1" x14ac:dyDescent="0.2">
      <c r="A139" s="3124"/>
      <c r="B139" s="849" t="s">
        <v>17</v>
      </c>
      <c r="C139" s="3100" t="s">
        <v>34</v>
      </c>
      <c r="D139" s="835">
        <f t="shared" ref="D139:I139" si="123">D140</f>
        <v>7807613</v>
      </c>
      <c r="E139" s="792">
        <f t="shared" si="123"/>
        <v>7383449</v>
      </c>
      <c r="F139" s="792">
        <f>F140</f>
        <v>424164</v>
      </c>
      <c r="G139" s="792">
        <f t="shared" si="123"/>
        <v>0</v>
      </c>
      <c r="H139" s="789">
        <f t="shared" si="123"/>
        <v>0</v>
      </c>
      <c r="I139" s="835">
        <f t="shared" si="123"/>
        <v>7807613</v>
      </c>
      <c r="J139" s="834">
        <f t="shared" si="93"/>
        <v>100</v>
      </c>
      <c r="K139" s="836">
        <f>K140</f>
        <v>0</v>
      </c>
      <c r="L139" s="258">
        <v>0</v>
      </c>
      <c r="M139" s="778">
        <f t="shared" si="122"/>
        <v>0</v>
      </c>
      <c r="N139" s="3098"/>
      <c r="O139" s="218"/>
    </row>
    <row r="140" spans="1:15" s="268" customFormat="1" ht="14.25" customHeight="1" x14ac:dyDescent="0.2">
      <c r="A140" s="3124"/>
      <c r="B140" s="243" t="s">
        <v>11</v>
      </c>
      <c r="C140" s="3100"/>
      <c r="D140" s="244">
        <f>+E140+F140+G140+H140</f>
        <v>7807613</v>
      </c>
      <c r="E140" s="853">
        <f>3068526+4314923</f>
        <v>7383449</v>
      </c>
      <c r="F140" s="853">
        <v>424164</v>
      </c>
      <c r="G140" s="853">
        <v>0</v>
      </c>
      <c r="H140" s="862">
        <v>0</v>
      </c>
      <c r="I140" s="274">
        <f>E140+F140+K140</f>
        <v>7807613</v>
      </c>
      <c r="J140" s="781">
        <f t="shared" si="93"/>
        <v>100</v>
      </c>
      <c r="K140" s="245"/>
      <c r="L140" s="782">
        <v>0</v>
      </c>
      <c r="M140" s="247">
        <f t="shared" si="122"/>
        <v>0</v>
      </c>
      <c r="N140" s="3098"/>
      <c r="O140" s="218"/>
    </row>
    <row r="141" spans="1:15" s="266" customFormat="1" ht="14.25" customHeight="1" x14ac:dyDescent="0.2">
      <c r="A141" s="3124"/>
      <c r="B141" s="852" t="s">
        <v>12</v>
      </c>
      <c r="C141" s="3100"/>
      <c r="D141" s="277">
        <f t="shared" ref="D141:H141" si="124">+D142+D143</f>
        <v>7807613</v>
      </c>
      <c r="E141" s="278">
        <f t="shared" si="124"/>
        <v>7383449</v>
      </c>
      <c r="F141" s="278">
        <f>+F142+F143</f>
        <v>424164</v>
      </c>
      <c r="G141" s="278">
        <f t="shared" si="124"/>
        <v>0</v>
      </c>
      <c r="H141" s="282">
        <f t="shared" si="124"/>
        <v>0</v>
      </c>
      <c r="I141" s="863">
        <f>I142+I143</f>
        <v>7807613</v>
      </c>
      <c r="J141" s="834">
        <f t="shared" si="93"/>
        <v>100</v>
      </c>
      <c r="K141" s="278">
        <f>+K142+K143</f>
        <v>0</v>
      </c>
      <c r="L141" s="258">
        <v>0</v>
      </c>
      <c r="M141" s="778">
        <f t="shared" si="122"/>
        <v>0</v>
      </c>
      <c r="N141" s="3098"/>
      <c r="O141" s="218"/>
    </row>
    <row r="142" spans="1:15" s="266" customFormat="1" ht="14.25" hidden="1" customHeight="1" x14ac:dyDescent="0.2">
      <c r="A142" s="3124"/>
      <c r="B142" s="243" t="s">
        <v>11</v>
      </c>
      <c r="C142" s="3100"/>
      <c r="D142" s="783">
        <f>+E142+F142+G142+H142</f>
        <v>0</v>
      </c>
      <c r="E142" s="260">
        <v>0</v>
      </c>
      <c r="F142" s="260">
        <v>0</v>
      </c>
      <c r="G142" s="260">
        <v>0</v>
      </c>
      <c r="H142" s="269">
        <v>0</v>
      </c>
      <c r="I142" s="784">
        <f>E142+F142+K142</f>
        <v>0</v>
      </c>
      <c r="J142" s="781" t="e">
        <f t="shared" si="93"/>
        <v>#DIV/0!</v>
      </c>
      <c r="K142" s="250">
        <v>0</v>
      </c>
      <c r="L142" s="782" t="e">
        <f t="shared" si="109"/>
        <v>#DIV/0!</v>
      </c>
      <c r="M142" s="247">
        <f t="shared" si="122"/>
        <v>0</v>
      </c>
      <c r="N142" s="3098"/>
      <c r="O142" s="218"/>
    </row>
    <row r="143" spans="1:15" s="266" customFormat="1" ht="14.25" customHeight="1" thickBot="1" x14ac:dyDescent="0.25">
      <c r="A143" s="3212"/>
      <c r="B143" s="280" t="s">
        <v>14</v>
      </c>
      <c r="C143" s="3122"/>
      <c r="D143" s="262">
        <f>+E143+F143+G143+H143</f>
        <v>7807613</v>
      </c>
      <c r="E143" s="283">
        <f>2655274+4728175</f>
        <v>7383449</v>
      </c>
      <c r="F143" s="283">
        <v>424164</v>
      </c>
      <c r="G143" s="283">
        <v>0</v>
      </c>
      <c r="H143" s="855">
        <v>0</v>
      </c>
      <c r="I143" s="845">
        <f>E143+F143+K143</f>
        <v>7807613</v>
      </c>
      <c r="J143" s="273">
        <f t="shared" si="93"/>
        <v>100</v>
      </c>
      <c r="K143" s="799"/>
      <c r="L143" s="830">
        <v>0</v>
      </c>
      <c r="M143" s="247">
        <f t="shared" si="122"/>
        <v>0</v>
      </c>
      <c r="N143" s="3103"/>
      <c r="O143" s="218"/>
    </row>
    <row r="144" spans="1:15" s="266" customFormat="1" ht="25.5" customHeight="1" x14ac:dyDescent="0.2">
      <c r="A144" s="3130" t="s">
        <v>45</v>
      </c>
      <c r="B144" s="831" t="s">
        <v>47</v>
      </c>
      <c r="C144" s="236" t="s">
        <v>166</v>
      </c>
      <c r="D144" s="237"/>
      <c r="E144" s="238"/>
      <c r="F144" s="238"/>
      <c r="G144" s="238"/>
      <c r="H144" s="864"/>
      <c r="I144" s="237"/>
      <c r="J144" s="238"/>
      <c r="K144" s="238"/>
      <c r="L144" s="240"/>
      <c r="M144" s="240"/>
      <c r="N144" s="769" t="s">
        <v>36</v>
      </c>
      <c r="O144" s="218"/>
    </row>
    <row r="145" spans="1:15" s="266" customFormat="1" ht="14.25" customHeight="1" x14ac:dyDescent="0.2">
      <c r="A145" s="3131"/>
      <c r="B145" s="220" t="s">
        <v>2</v>
      </c>
      <c r="C145" s="25"/>
      <c r="D145" s="807">
        <f t="shared" ref="D145:H145" si="125">+D146+D149</f>
        <v>49545628</v>
      </c>
      <c r="E145" s="808">
        <f t="shared" si="125"/>
        <v>536640</v>
      </c>
      <c r="F145" s="808">
        <f>+F146+F149</f>
        <v>24000000</v>
      </c>
      <c r="G145" s="808">
        <f t="shared" si="125"/>
        <v>25008988</v>
      </c>
      <c r="H145" s="865">
        <f t="shared" si="125"/>
        <v>0</v>
      </c>
      <c r="I145" s="807">
        <f>+I146+I149</f>
        <v>27821617</v>
      </c>
      <c r="J145" s="743">
        <f t="shared" si="93"/>
        <v>56.153525796463825</v>
      </c>
      <c r="K145" s="808">
        <f>+K146+K149</f>
        <v>3294792</v>
      </c>
      <c r="L145" s="771">
        <f t="shared" si="109"/>
        <v>13.174431528376918</v>
      </c>
      <c r="M145" s="241">
        <f t="shared" ref="M145:M155" si="126">+K145-G145</f>
        <v>-21714196</v>
      </c>
      <c r="N145" s="3152" t="s">
        <v>37</v>
      </c>
      <c r="O145" s="218"/>
    </row>
    <row r="146" spans="1:15" s="266" customFormat="1" ht="14.25" customHeight="1" thickBot="1" x14ac:dyDescent="0.25">
      <c r="A146" s="3205"/>
      <c r="B146" s="242" t="s">
        <v>17</v>
      </c>
      <c r="C146" s="3100" t="s">
        <v>38</v>
      </c>
      <c r="D146" s="812">
        <f t="shared" ref="D146:H146" si="127">+D147+D148</f>
        <v>35811170</v>
      </c>
      <c r="E146" s="813">
        <f t="shared" si="127"/>
        <v>405997</v>
      </c>
      <c r="F146" s="813">
        <f>+F147+F148</f>
        <v>17776920</v>
      </c>
      <c r="G146" s="813">
        <f t="shared" si="127"/>
        <v>17628253</v>
      </c>
      <c r="H146" s="866">
        <f t="shared" si="127"/>
        <v>0</v>
      </c>
      <c r="I146" s="812">
        <f>+I147+I148</f>
        <v>20752028</v>
      </c>
      <c r="J146" s="26">
        <f t="shared" si="93"/>
        <v>57.94847808658583</v>
      </c>
      <c r="K146" s="813">
        <f>+K147+K148</f>
        <v>2569882</v>
      </c>
      <c r="L146" s="834">
        <f t="shared" si="109"/>
        <v>14.578200120000547</v>
      </c>
      <c r="M146" s="778">
        <f t="shared" si="126"/>
        <v>-15058371</v>
      </c>
      <c r="N146" s="3153"/>
      <c r="O146" s="218"/>
    </row>
    <row r="147" spans="1:15" s="266" customFormat="1" ht="14.25" customHeight="1" x14ac:dyDescent="0.2">
      <c r="A147" s="3130"/>
      <c r="B147" s="243" t="s">
        <v>4</v>
      </c>
      <c r="C147" s="3101"/>
      <c r="D147" s="244">
        <f>+E147+F147+G147+H147</f>
        <v>32953047</v>
      </c>
      <c r="E147" s="779">
        <f>95001+44107+238094</f>
        <v>377202</v>
      </c>
      <c r="F147" s="245">
        <v>16405424</v>
      </c>
      <c r="G147" s="245">
        <v>16170421</v>
      </c>
      <c r="H147" s="285">
        <v>0</v>
      </c>
      <c r="I147" s="274">
        <f>E147+F147+K147-209</f>
        <v>19210340</v>
      </c>
      <c r="J147" s="780">
        <f t="shared" si="93"/>
        <v>58.296096260840457</v>
      </c>
      <c r="K147" s="779">
        <v>2427923</v>
      </c>
      <c r="L147" s="781">
        <f t="shared" si="109"/>
        <v>15.014593621279248</v>
      </c>
      <c r="M147" s="247">
        <f t="shared" si="126"/>
        <v>-13742498</v>
      </c>
      <c r="N147" s="3151"/>
      <c r="O147" s="218"/>
    </row>
    <row r="148" spans="1:15" s="266" customFormat="1" ht="14.25" customHeight="1" x14ac:dyDescent="0.2">
      <c r="A148" s="3131"/>
      <c r="B148" s="243" t="s">
        <v>11</v>
      </c>
      <c r="C148" s="3101"/>
      <c r="D148" s="244">
        <f>+E148+F148+G148+H148</f>
        <v>2858123</v>
      </c>
      <c r="E148" s="779">
        <f>5200+3687+19908</f>
        <v>28795</v>
      </c>
      <c r="F148" s="245">
        <v>1371496</v>
      </c>
      <c r="G148" s="245">
        <v>1457832</v>
      </c>
      <c r="H148" s="285">
        <v>0</v>
      </c>
      <c r="I148" s="274">
        <f>E148+F148+K148-562</f>
        <v>1541688</v>
      </c>
      <c r="J148" s="249">
        <f t="shared" ref="J148:J193" si="128">I148/D148*100</f>
        <v>53.940575685511085</v>
      </c>
      <c r="K148" s="779">
        <v>141959</v>
      </c>
      <c r="L148" s="276">
        <f t="shared" si="109"/>
        <v>9.7376789643799846</v>
      </c>
      <c r="M148" s="247">
        <f t="shared" si="126"/>
        <v>-1315873</v>
      </c>
      <c r="N148" s="3152"/>
      <c r="O148" s="218"/>
    </row>
    <row r="149" spans="1:15" s="266" customFormat="1" ht="14.25" customHeight="1" x14ac:dyDescent="0.2">
      <c r="A149" s="3131"/>
      <c r="B149" s="253" t="s">
        <v>12</v>
      </c>
      <c r="C149" s="3101"/>
      <c r="D149" s="254">
        <f t="shared" ref="D149:I149" si="129">+D150</f>
        <v>13734458</v>
      </c>
      <c r="E149" s="255">
        <f t="shared" si="129"/>
        <v>130643</v>
      </c>
      <c r="F149" s="255">
        <f>+F150</f>
        <v>6223080</v>
      </c>
      <c r="G149" s="255">
        <f t="shared" si="129"/>
        <v>7380735</v>
      </c>
      <c r="H149" s="286">
        <f t="shared" si="129"/>
        <v>0</v>
      </c>
      <c r="I149" s="254">
        <f t="shared" si="129"/>
        <v>7069589</v>
      </c>
      <c r="J149" s="26">
        <f t="shared" si="128"/>
        <v>51.473374486273869</v>
      </c>
      <c r="K149" s="255">
        <f>+K150</f>
        <v>724910</v>
      </c>
      <c r="L149" s="834">
        <f t="shared" si="109"/>
        <v>9.821650553772761</v>
      </c>
      <c r="M149" s="778">
        <f t="shared" si="126"/>
        <v>-6655825</v>
      </c>
      <c r="N149" s="3152"/>
      <c r="O149" s="218"/>
    </row>
    <row r="150" spans="1:15" s="266" customFormat="1" ht="14.25" customHeight="1" x14ac:dyDescent="0.2">
      <c r="A150" s="3131"/>
      <c r="B150" s="243" t="s">
        <v>14</v>
      </c>
      <c r="C150" s="3101"/>
      <c r="D150" s="244">
        <f>++E150+F150+G150+H150</f>
        <v>13734458</v>
      </c>
      <c r="E150" s="779">
        <f>23594+16731+90318</f>
        <v>130643</v>
      </c>
      <c r="F150" s="245">
        <v>6223080</v>
      </c>
      <c r="G150" s="245">
        <v>7380735</v>
      </c>
      <c r="H150" s="285">
        <v>0</v>
      </c>
      <c r="I150" s="274">
        <f>E150+F150+K150-9044</f>
        <v>7069589</v>
      </c>
      <c r="J150" s="780">
        <f t="shared" si="128"/>
        <v>51.473374486273869</v>
      </c>
      <c r="K150" s="779">
        <v>724910</v>
      </c>
      <c r="L150" s="781">
        <f t="shared" si="109"/>
        <v>9.821650553772761</v>
      </c>
      <c r="M150" s="247">
        <f t="shared" si="126"/>
        <v>-6655825</v>
      </c>
      <c r="N150" s="3213"/>
      <c r="O150" s="218"/>
    </row>
    <row r="151" spans="1:15" s="266" customFormat="1" ht="13.5" customHeight="1" x14ac:dyDescent="0.2">
      <c r="A151" s="3132"/>
      <c r="B151" s="220" t="s">
        <v>16</v>
      </c>
      <c r="C151" s="25"/>
      <c r="D151" s="233">
        <f t="shared" ref="D151:I151" si="130">+D154+D152</f>
        <v>16592581</v>
      </c>
      <c r="E151" s="287">
        <f t="shared" si="130"/>
        <v>0</v>
      </c>
      <c r="F151" s="287">
        <f>+F154+F152</f>
        <v>0</v>
      </c>
      <c r="G151" s="234">
        <f t="shared" si="130"/>
        <v>16592581</v>
      </c>
      <c r="H151" s="867">
        <f t="shared" si="130"/>
        <v>0</v>
      </c>
      <c r="I151" s="233">
        <f t="shared" si="130"/>
        <v>0</v>
      </c>
      <c r="J151" s="743">
        <f t="shared" si="128"/>
        <v>0</v>
      </c>
      <c r="K151" s="234">
        <f>+K154+K152</f>
        <v>0</v>
      </c>
      <c r="L151" s="824">
        <v>0</v>
      </c>
      <c r="M151" s="241">
        <f t="shared" si="126"/>
        <v>-16592581</v>
      </c>
      <c r="N151" s="3214" t="s">
        <v>39</v>
      </c>
      <c r="O151" s="218"/>
    </row>
    <row r="152" spans="1:15" s="266" customFormat="1" ht="14.25" customHeight="1" x14ac:dyDescent="0.2">
      <c r="A152" s="3132"/>
      <c r="B152" s="242" t="s">
        <v>17</v>
      </c>
      <c r="C152" s="3215" t="s">
        <v>34</v>
      </c>
      <c r="D152" s="254">
        <f t="shared" ref="D152:I152" si="131">+D153</f>
        <v>2858123</v>
      </c>
      <c r="E152" s="257">
        <f t="shared" si="131"/>
        <v>0</v>
      </c>
      <c r="F152" s="257">
        <v>0</v>
      </c>
      <c r="G152" s="255">
        <f t="shared" si="131"/>
        <v>2858123</v>
      </c>
      <c r="H152" s="868">
        <f t="shared" si="131"/>
        <v>0</v>
      </c>
      <c r="I152" s="277">
        <f t="shared" si="131"/>
        <v>0</v>
      </c>
      <c r="J152" s="26">
        <f t="shared" si="128"/>
        <v>0</v>
      </c>
      <c r="K152" s="869">
        <v>0</v>
      </c>
      <c r="L152" s="258">
        <v>0</v>
      </c>
      <c r="M152" s="778">
        <f t="shared" si="126"/>
        <v>-2858123</v>
      </c>
      <c r="N152" s="3152"/>
      <c r="O152" s="218"/>
    </row>
    <row r="153" spans="1:15" s="266" customFormat="1" ht="14.25" customHeight="1" x14ac:dyDescent="0.2">
      <c r="A153" s="3132"/>
      <c r="B153" s="243" t="s">
        <v>11</v>
      </c>
      <c r="C153" s="3100"/>
      <c r="D153" s="244">
        <f>+E153+F153+G153+H153</f>
        <v>2858123</v>
      </c>
      <c r="E153" s="870">
        <v>0</v>
      </c>
      <c r="F153" s="870">
        <v>0</v>
      </c>
      <c r="G153" s="871">
        <v>2858123</v>
      </c>
      <c r="H153" s="872">
        <v>0</v>
      </c>
      <c r="I153" s="274">
        <f>E153+F153+K153</f>
        <v>0</v>
      </c>
      <c r="J153" s="780">
        <f t="shared" si="128"/>
        <v>0</v>
      </c>
      <c r="K153" s="869">
        <v>0</v>
      </c>
      <c r="L153" s="782">
        <v>0</v>
      </c>
      <c r="M153" s="247">
        <f t="shared" si="126"/>
        <v>-2858123</v>
      </c>
      <c r="N153" s="3152"/>
      <c r="O153" s="218"/>
    </row>
    <row r="154" spans="1:15" s="266" customFormat="1" ht="14.25" customHeight="1" x14ac:dyDescent="0.2">
      <c r="A154" s="3132"/>
      <c r="B154" s="253" t="s">
        <v>12</v>
      </c>
      <c r="C154" s="3100"/>
      <c r="D154" s="277">
        <f>+D155</f>
        <v>13734458</v>
      </c>
      <c r="E154" s="284">
        <f t="shared" ref="E154:H154" si="132">+E155</f>
        <v>0</v>
      </c>
      <c r="F154" s="284">
        <f>+F155</f>
        <v>0</v>
      </c>
      <c r="G154" s="278">
        <f t="shared" si="132"/>
        <v>13734458</v>
      </c>
      <c r="H154" s="873">
        <f t="shared" si="132"/>
        <v>0</v>
      </c>
      <c r="I154" s="277">
        <f>+I155</f>
        <v>0</v>
      </c>
      <c r="J154" s="26">
        <f t="shared" si="128"/>
        <v>0</v>
      </c>
      <c r="K154" s="278">
        <f>+K155</f>
        <v>0</v>
      </c>
      <c r="L154" s="258">
        <v>0</v>
      </c>
      <c r="M154" s="778">
        <f t="shared" si="126"/>
        <v>-13734458</v>
      </c>
      <c r="N154" s="3152"/>
      <c r="O154" s="218"/>
    </row>
    <row r="155" spans="1:15" s="266" customFormat="1" ht="14.25" customHeight="1" thickBot="1" x14ac:dyDescent="0.25">
      <c r="A155" s="3133"/>
      <c r="B155" s="280" t="s">
        <v>14</v>
      </c>
      <c r="C155" s="3122"/>
      <c r="D155" s="262">
        <f>+E155+F155+G155+H155</f>
        <v>13734458</v>
      </c>
      <c r="E155" s="818">
        <v>0</v>
      </c>
      <c r="F155" s="874">
        <v>0</v>
      </c>
      <c r="G155" s="283">
        <v>13734458</v>
      </c>
      <c r="H155" s="875">
        <v>0</v>
      </c>
      <c r="I155" s="845">
        <f>E155+F155+K155</f>
        <v>0</v>
      </c>
      <c r="J155" s="801">
        <f t="shared" si="128"/>
        <v>0</v>
      </c>
      <c r="K155" s="283">
        <v>0</v>
      </c>
      <c r="L155" s="876">
        <v>0</v>
      </c>
      <c r="M155" s="247">
        <f t="shared" si="126"/>
        <v>-13734458</v>
      </c>
      <c r="N155" s="3153"/>
      <c r="O155" s="218"/>
    </row>
    <row r="156" spans="1:15" ht="26.25" customHeight="1" x14ac:dyDescent="0.2">
      <c r="A156" s="3130" t="s">
        <v>46</v>
      </c>
      <c r="B156" s="831" t="s">
        <v>243</v>
      </c>
      <c r="C156" s="236" t="s">
        <v>166</v>
      </c>
      <c r="D156" s="237"/>
      <c r="E156" s="240"/>
      <c r="F156" s="238"/>
      <c r="G156" s="238"/>
      <c r="H156" s="239"/>
      <c r="I156" s="237"/>
      <c r="J156" s="238"/>
      <c r="K156" s="238"/>
      <c r="L156" s="240"/>
      <c r="M156" s="240"/>
      <c r="N156" s="3127" t="s">
        <v>37</v>
      </c>
      <c r="O156" s="218"/>
    </row>
    <row r="157" spans="1:15" x14ac:dyDescent="0.2">
      <c r="A157" s="3131"/>
      <c r="B157" s="220" t="s">
        <v>2</v>
      </c>
      <c r="C157" s="25"/>
      <c r="D157" s="233">
        <f t="shared" ref="D157:I157" si="133">+D158+D160</f>
        <v>23379750</v>
      </c>
      <c r="E157" s="241">
        <f t="shared" si="133"/>
        <v>22959750</v>
      </c>
      <c r="F157" s="234">
        <f>+F158+F160</f>
        <v>0</v>
      </c>
      <c r="G157" s="234">
        <f t="shared" si="133"/>
        <v>420000</v>
      </c>
      <c r="H157" s="234">
        <f t="shared" si="133"/>
        <v>0</v>
      </c>
      <c r="I157" s="233">
        <f t="shared" si="133"/>
        <v>23227350</v>
      </c>
      <c r="J157" s="743">
        <f t="shared" si="128"/>
        <v>99.34815385108908</v>
      </c>
      <c r="K157" s="808">
        <f>+K158+K160</f>
        <v>267600</v>
      </c>
      <c r="L157" s="824">
        <v>0</v>
      </c>
      <c r="M157" s="241">
        <f t="shared" ref="M157:M164" si="134">+K157-G157</f>
        <v>-152400</v>
      </c>
      <c r="N157" s="3187"/>
      <c r="O157" s="218"/>
    </row>
    <row r="158" spans="1:15" ht="14.25" customHeight="1" thickBot="1" x14ac:dyDescent="0.25">
      <c r="A158" s="3205"/>
      <c r="B158" s="242" t="s">
        <v>17</v>
      </c>
      <c r="C158" s="3100" t="s">
        <v>38</v>
      </c>
      <c r="D158" s="277">
        <f t="shared" ref="D158:I158" si="135">+D159</f>
        <v>6630649</v>
      </c>
      <c r="E158" s="288">
        <f t="shared" si="135"/>
        <v>6210649</v>
      </c>
      <c r="F158" s="278">
        <f>+F159</f>
        <v>0</v>
      </c>
      <c r="G158" s="278">
        <f t="shared" si="135"/>
        <v>420000</v>
      </c>
      <c r="H158" s="278">
        <f t="shared" si="135"/>
        <v>0</v>
      </c>
      <c r="I158" s="277">
        <f t="shared" si="135"/>
        <v>6478249</v>
      </c>
      <c r="J158" s="26">
        <f t="shared" si="128"/>
        <v>97.701582454447518</v>
      </c>
      <c r="K158" s="813">
        <f>+K159</f>
        <v>267600</v>
      </c>
      <c r="L158" s="258">
        <v>0</v>
      </c>
      <c r="M158" s="778">
        <f t="shared" si="134"/>
        <v>-152400</v>
      </c>
      <c r="N158" s="3207"/>
      <c r="O158" s="218"/>
    </row>
    <row r="159" spans="1:15" ht="12" customHeight="1" x14ac:dyDescent="0.2">
      <c r="A159" s="3130"/>
      <c r="B159" s="243" t="s">
        <v>4</v>
      </c>
      <c r="C159" s="3101"/>
      <c r="D159" s="244">
        <f>++E159+F159+G159+H159</f>
        <v>6630649</v>
      </c>
      <c r="E159" s="247">
        <f>38866+2553458+3591196+27129</f>
        <v>6210649</v>
      </c>
      <c r="F159" s="779">
        <v>0</v>
      </c>
      <c r="G159" s="779">
        <v>420000</v>
      </c>
      <c r="H159" s="779">
        <v>0</v>
      </c>
      <c r="I159" s="246">
        <f>E159+F159+K159</f>
        <v>6478249</v>
      </c>
      <c r="J159" s="780">
        <f t="shared" si="128"/>
        <v>97.701582454447518</v>
      </c>
      <c r="K159" s="779">
        <v>267600</v>
      </c>
      <c r="L159" s="782">
        <v>0</v>
      </c>
      <c r="M159" s="247">
        <f t="shared" si="134"/>
        <v>-152400</v>
      </c>
      <c r="N159" s="3127"/>
      <c r="O159" s="218"/>
    </row>
    <row r="160" spans="1:15" x14ac:dyDescent="0.2">
      <c r="A160" s="3131"/>
      <c r="B160" s="253" t="s">
        <v>12</v>
      </c>
      <c r="C160" s="3101"/>
      <c r="D160" s="254">
        <f t="shared" ref="D160:I160" si="136">+D161</f>
        <v>16749101</v>
      </c>
      <c r="E160" s="259">
        <f t="shared" si="136"/>
        <v>16749101</v>
      </c>
      <c r="F160" s="255">
        <f>+F161</f>
        <v>0</v>
      </c>
      <c r="G160" s="284">
        <f t="shared" si="136"/>
        <v>0</v>
      </c>
      <c r="H160" s="256">
        <f t="shared" si="136"/>
        <v>0</v>
      </c>
      <c r="I160" s="254">
        <f t="shared" si="136"/>
        <v>16749101</v>
      </c>
      <c r="J160" s="26">
        <f t="shared" si="128"/>
        <v>100</v>
      </c>
      <c r="K160" s="284">
        <f>+K161</f>
        <v>0</v>
      </c>
      <c r="L160" s="258">
        <v>0</v>
      </c>
      <c r="M160" s="778">
        <f t="shared" si="134"/>
        <v>0</v>
      </c>
      <c r="N160" s="3187"/>
      <c r="O160" s="218"/>
    </row>
    <row r="161" spans="1:15" ht="12" customHeight="1" x14ac:dyDescent="0.2">
      <c r="A161" s="3131"/>
      <c r="B161" s="243" t="s">
        <v>14</v>
      </c>
      <c r="C161" s="3101"/>
      <c r="D161" s="244">
        <f>+E161+F161+G161</f>
        <v>16749101</v>
      </c>
      <c r="E161" s="779">
        <f>102218+7570373+9051366+25144</f>
        <v>16749101</v>
      </c>
      <c r="F161" s="779">
        <v>0</v>
      </c>
      <c r="G161" s="250">
        <v>0</v>
      </c>
      <c r="H161" s="248">
        <v>0</v>
      </c>
      <c r="I161" s="246">
        <f>E161+F161+K161</f>
        <v>16749101</v>
      </c>
      <c r="J161" s="780">
        <f t="shared" si="128"/>
        <v>100</v>
      </c>
      <c r="K161" s="250">
        <v>0</v>
      </c>
      <c r="L161" s="782">
        <v>0</v>
      </c>
      <c r="M161" s="247">
        <f t="shared" si="134"/>
        <v>0</v>
      </c>
      <c r="N161" s="3187"/>
      <c r="O161" s="218"/>
    </row>
    <row r="162" spans="1:15" ht="12" customHeight="1" x14ac:dyDescent="0.2">
      <c r="A162" s="3132"/>
      <c r="B162" s="220" t="s">
        <v>16</v>
      </c>
      <c r="C162" s="25"/>
      <c r="D162" s="233">
        <f>+D163</f>
        <v>16749101</v>
      </c>
      <c r="E162" s="234">
        <f t="shared" ref="E162:H163" si="137">+E163</f>
        <v>15886601</v>
      </c>
      <c r="F162" s="234">
        <f>+F163</f>
        <v>0</v>
      </c>
      <c r="G162" s="234">
        <f t="shared" si="137"/>
        <v>862500</v>
      </c>
      <c r="H162" s="234">
        <f t="shared" si="137"/>
        <v>0</v>
      </c>
      <c r="I162" s="233">
        <f>+I163</f>
        <v>15886601</v>
      </c>
      <c r="J162" s="743">
        <f t="shared" si="128"/>
        <v>94.850469884920983</v>
      </c>
      <c r="K162" s="287">
        <f>+K163</f>
        <v>0</v>
      </c>
      <c r="L162" s="824">
        <v>0</v>
      </c>
      <c r="M162" s="241">
        <f t="shared" si="134"/>
        <v>-862500</v>
      </c>
      <c r="N162" s="3101"/>
      <c r="O162" s="218"/>
    </row>
    <row r="163" spans="1:15" ht="12.75" customHeight="1" x14ac:dyDescent="0.2">
      <c r="A163" s="3132"/>
      <c r="B163" s="253" t="s">
        <v>12</v>
      </c>
      <c r="C163" s="3208" t="s">
        <v>49</v>
      </c>
      <c r="D163" s="254">
        <f>+D164</f>
        <v>16749101</v>
      </c>
      <c r="E163" s="255">
        <f t="shared" si="137"/>
        <v>15886601</v>
      </c>
      <c r="F163" s="255">
        <f>+F164</f>
        <v>0</v>
      </c>
      <c r="G163" s="255">
        <f t="shared" si="137"/>
        <v>862500</v>
      </c>
      <c r="H163" s="255">
        <f t="shared" si="137"/>
        <v>0</v>
      </c>
      <c r="I163" s="254">
        <f>+I164</f>
        <v>15886601</v>
      </c>
      <c r="J163" s="26">
        <f t="shared" si="128"/>
        <v>94.850469884920983</v>
      </c>
      <c r="K163" s="257">
        <f>+K164</f>
        <v>0</v>
      </c>
      <c r="L163" s="258">
        <v>0</v>
      </c>
      <c r="M163" s="778">
        <f t="shared" si="134"/>
        <v>-862500</v>
      </c>
      <c r="N163" s="3101"/>
      <c r="O163" s="218"/>
    </row>
    <row r="164" spans="1:15" ht="12.75" customHeight="1" thickBot="1" x14ac:dyDescent="0.25">
      <c r="A164" s="3133"/>
      <c r="B164" s="828" t="s">
        <v>14</v>
      </c>
      <c r="C164" s="3104"/>
      <c r="D164" s="262">
        <f>++E164+F164+G164+H164</f>
        <v>16749101</v>
      </c>
      <c r="E164" s="263">
        <f>15424338+462263</f>
        <v>15886601</v>
      </c>
      <c r="F164" s="263">
        <v>0</v>
      </c>
      <c r="G164" s="263">
        <v>862500</v>
      </c>
      <c r="H164" s="263">
        <v>0</v>
      </c>
      <c r="I164" s="264">
        <f>E164+F164+K164</f>
        <v>15886601</v>
      </c>
      <c r="J164" s="801">
        <f t="shared" si="128"/>
        <v>94.850469884920983</v>
      </c>
      <c r="K164" s="818">
        <v>0</v>
      </c>
      <c r="L164" s="876">
        <v>0</v>
      </c>
      <c r="M164" s="247">
        <f t="shared" si="134"/>
        <v>-862500</v>
      </c>
      <c r="N164" s="3104"/>
      <c r="O164" s="218"/>
    </row>
    <row r="165" spans="1:15" ht="27.75" customHeight="1" x14ac:dyDescent="0.2">
      <c r="A165" s="3130" t="s">
        <v>48</v>
      </c>
      <c r="B165" s="831" t="s">
        <v>244</v>
      </c>
      <c r="C165" s="236" t="s">
        <v>166</v>
      </c>
      <c r="D165" s="237"/>
      <c r="E165" s="238"/>
      <c r="F165" s="238"/>
      <c r="G165" s="238"/>
      <c r="H165" s="239"/>
      <c r="I165" s="237"/>
      <c r="J165" s="238"/>
      <c r="K165" s="238"/>
      <c r="L165" s="240"/>
      <c r="M165" s="240"/>
      <c r="N165" s="3127" t="s">
        <v>37</v>
      </c>
      <c r="O165" s="218"/>
    </row>
    <row r="166" spans="1:15" x14ac:dyDescent="0.2">
      <c r="A166" s="3131"/>
      <c r="B166" s="220" t="s">
        <v>2</v>
      </c>
      <c r="C166" s="25"/>
      <c r="D166" s="807">
        <f t="shared" ref="D166:I166" si="138">+D167+D170</f>
        <v>15035036</v>
      </c>
      <c r="E166" s="808">
        <f t="shared" si="138"/>
        <v>15011832</v>
      </c>
      <c r="F166" s="808">
        <f t="shared" si="138"/>
        <v>23204</v>
      </c>
      <c r="G166" s="808">
        <f t="shared" si="138"/>
        <v>0</v>
      </c>
      <c r="H166" s="848">
        <f t="shared" si="138"/>
        <v>0</v>
      </c>
      <c r="I166" s="807">
        <f t="shared" si="138"/>
        <v>15035036</v>
      </c>
      <c r="J166" s="743">
        <f t="shared" si="128"/>
        <v>100</v>
      </c>
      <c r="K166" s="808">
        <f>+K167+K170</f>
        <v>0</v>
      </c>
      <c r="L166" s="771">
        <v>0</v>
      </c>
      <c r="M166" s="241">
        <f t="shared" ref="M166:M176" si="139">+K166-G166</f>
        <v>0</v>
      </c>
      <c r="N166" s="3187"/>
      <c r="O166" s="218"/>
    </row>
    <row r="167" spans="1:15" ht="13.5" customHeight="1" x14ac:dyDescent="0.2">
      <c r="A167" s="3131"/>
      <c r="B167" s="242" t="s">
        <v>17</v>
      </c>
      <c r="C167" s="3100" t="s">
        <v>38</v>
      </c>
      <c r="D167" s="812">
        <f t="shared" ref="D167:I167" si="140">+D168+D169</f>
        <v>6479185</v>
      </c>
      <c r="E167" s="813">
        <f t="shared" si="140"/>
        <v>6455981</v>
      </c>
      <c r="F167" s="813">
        <f t="shared" si="140"/>
        <v>23204</v>
      </c>
      <c r="G167" s="813">
        <f t="shared" si="140"/>
        <v>0</v>
      </c>
      <c r="H167" s="850">
        <f t="shared" si="140"/>
        <v>0</v>
      </c>
      <c r="I167" s="812">
        <f t="shared" si="140"/>
        <v>6479185</v>
      </c>
      <c r="J167" s="26">
        <f t="shared" si="128"/>
        <v>100</v>
      </c>
      <c r="K167" s="813">
        <f>+K168+K169</f>
        <v>0</v>
      </c>
      <c r="L167" s="834">
        <v>0</v>
      </c>
      <c r="M167" s="778">
        <f t="shared" si="139"/>
        <v>0</v>
      </c>
      <c r="N167" s="3187"/>
      <c r="O167" s="218"/>
    </row>
    <row r="168" spans="1:15" x14ac:dyDescent="0.2">
      <c r="A168" s="3131"/>
      <c r="B168" s="243" t="s">
        <v>4</v>
      </c>
      <c r="C168" s="3101"/>
      <c r="D168" s="244">
        <f>++E168+F168+G168+H168</f>
        <v>3028942</v>
      </c>
      <c r="E168" s="245">
        <f>40672+1896868+1068198</f>
        <v>3005738</v>
      </c>
      <c r="F168" s="245">
        <v>23204</v>
      </c>
      <c r="G168" s="245">
        <v>0</v>
      </c>
      <c r="H168" s="269">
        <v>0</v>
      </c>
      <c r="I168" s="246">
        <f>E168+F168+K168</f>
        <v>3028942</v>
      </c>
      <c r="J168" s="780">
        <f t="shared" si="128"/>
        <v>100</v>
      </c>
      <c r="K168" s="245">
        <v>0</v>
      </c>
      <c r="L168" s="781">
        <v>0</v>
      </c>
      <c r="M168" s="247">
        <f t="shared" si="139"/>
        <v>0</v>
      </c>
      <c r="N168" s="3187"/>
      <c r="O168" s="218"/>
    </row>
    <row r="169" spans="1:15" ht="10.5" customHeight="1" x14ac:dyDescent="0.2">
      <c r="A169" s="3131"/>
      <c r="B169" s="290" t="s">
        <v>9</v>
      </c>
      <c r="C169" s="3101"/>
      <c r="D169" s="244">
        <f>++E169+F169+G169</f>
        <v>3450243</v>
      </c>
      <c r="E169" s="245">
        <f>1666139+1784104</f>
        <v>3450243</v>
      </c>
      <c r="F169" s="260">
        <v>0</v>
      </c>
      <c r="G169" s="260">
        <v>0</v>
      </c>
      <c r="H169" s="269">
        <v>0</v>
      </c>
      <c r="I169" s="246">
        <f>E169+F169+K169</f>
        <v>3450243</v>
      </c>
      <c r="J169" s="249">
        <f t="shared" si="128"/>
        <v>100</v>
      </c>
      <c r="K169" s="250">
        <v>0</v>
      </c>
      <c r="L169" s="251">
        <v>0</v>
      </c>
      <c r="M169" s="247">
        <f t="shared" si="139"/>
        <v>0</v>
      </c>
      <c r="N169" s="3187"/>
      <c r="O169" s="218"/>
    </row>
    <row r="170" spans="1:15" ht="12.75" customHeight="1" thickBot="1" x14ac:dyDescent="0.25">
      <c r="A170" s="3205"/>
      <c r="B170" s="253" t="s">
        <v>12</v>
      </c>
      <c r="C170" s="3101"/>
      <c r="D170" s="254">
        <f t="shared" ref="D170:I170" si="141">+D171</f>
        <v>8555851</v>
      </c>
      <c r="E170" s="255">
        <f t="shared" si="141"/>
        <v>8555851</v>
      </c>
      <c r="F170" s="257">
        <f t="shared" si="141"/>
        <v>0</v>
      </c>
      <c r="G170" s="257">
        <f t="shared" si="141"/>
        <v>0</v>
      </c>
      <c r="H170" s="256">
        <f t="shared" si="141"/>
        <v>0</v>
      </c>
      <c r="I170" s="254">
        <f t="shared" si="141"/>
        <v>8555851</v>
      </c>
      <c r="J170" s="26">
        <f t="shared" si="128"/>
        <v>100</v>
      </c>
      <c r="K170" s="257">
        <f>+K171</f>
        <v>0</v>
      </c>
      <c r="L170" s="258">
        <v>0</v>
      </c>
      <c r="M170" s="778">
        <f t="shared" si="139"/>
        <v>0</v>
      </c>
      <c r="N170" s="3207"/>
      <c r="O170" s="218"/>
    </row>
    <row r="171" spans="1:15" x14ac:dyDescent="0.2">
      <c r="A171" s="3130"/>
      <c r="B171" s="243" t="s">
        <v>14</v>
      </c>
      <c r="C171" s="3101"/>
      <c r="D171" s="244">
        <f>+E171+F171+G171</f>
        <v>8555851</v>
      </c>
      <c r="E171" s="779">
        <f>53939+5427454+3074458</f>
        <v>8555851</v>
      </c>
      <c r="F171" s="260">
        <v>0</v>
      </c>
      <c r="G171" s="260">
        <v>0</v>
      </c>
      <c r="H171" s="269">
        <v>0</v>
      </c>
      <c r="I171" s="246">
        <f>E171+F171+K171</f>
        <v>8555851</v>
      </c>
      <c r="J171" s="780">
        <f t="shared" si="128"/>
        <v>100</v>
      </c>
      <c r="K171" s="250">
        <v>0</v>
      </c>
      <c r="L171" s="782">
        <v>0</v>
      </c>
      <c r="M171" s="247">
        <f t="shared" si="139"/>
        <v>0</v>
      </c>
      <c r="N171" s="3127"/>
      <c r="O171" s="218"/>
    </row>
    <row r="172" spans="1:15" x14ac:dyDescent="0.2">
      <c r="A172" s="3132"/>
      <c r="B172" s="220" t="s">
        <v>16</v>
      </c>
      <c r="C172" s="25"/>
      <c r="D172" s="233">
        <f>+D173+D175</f>
        <v>12006094</v>
      </c>
      <c r="E172" s="234">
        <f>+E173+E175</f>
        <v>12006094</v>
      </c>
      <c r="F172" s="287">
        <f>+F173+F175</f>
        <v>0</v>
      </c>
      <c r="G172" s="287">
        <f>+G173+G175</f>
        <v>0</v>
      </c>
      <c r="H172" s="261">
        <f>+H173</f>
        <v>0</v>
      </c>
      <c r="I172" s="233">
        <f>+I173+I175</f>
        <v>12006094</v>
      </c>
      <c r="J172" s="743">
        <f t="shared" si="128"/>
        <v>100</v>
      </c>
      <c r="K172" s="287">
        <f>+K173+K175</f>
        <v>0</v>
      </c>
      <c r="L172" s="824">
        <v>0</v>
      </c>
      <c r="M172" s="241">
        <f t="shared" si="139"/>
        <v>0</v>
      </c>
      <c r="N172" s="3101"/>
      <c r="O172" s="218"/>
    </row>
    <row r="173" spans="1:15" ht="13.5" customHeight="1" x14ac:dyDescent="0.2">
      <c r="A173" s="3132"/>
      <c r="B173" s="242" t="s">
        <v>17</v>
      </c>
      <c r="C173" s="3208" t="s">
        <v>51</v>
      </c>
      <c r="D173" s="254">
        <f>+D174</f>
        <v>3450243</v>
      </c>
      <c r="E173" s="255">
        <f>+E174</f>
        <v>3450243</v>
      </c>
      <c r="F173" s="257">
        <f>+F174</f>
        <v>0</v>
      </c>
      <c r="G173" s="257">
        <f>+G174</f>
        <v>0</v>
      </c>
      <c r="H173" s="256">
        <f>+H174</f>
        <v>0</v>
      </c>
      <c r="I173" s="254">
        <f>+I174</f>
        <v>3450243</v>
      </c>
      <c r="J173" s="26">
        <f t="shared" si="128"/>
        <v>100</v>
      </c>
      <c r="K173" s="257">
        <f>+K174</f>
        <v>0</v>
      </c>
      <c r="L173" s="258">
        <v>0</v>
      </c>
      <c r="M173" s="778">
        <f t="shared" si="139"/>
        <v>0</v>
      </c>
      <c r="N173" s="3101"/>
      <c r="O173" s="218"/>
    </row>
    <row r="174" spans="1:15" ht="13.5" customHeight="1" x14ac:dyDescent="0.2">
      <c r="A174" s="3132"/>
      <c r="B174" s="290" t="s">
        <v>9</v>
      </c>
      <c r="C174" s="3209"/>
      <c r="D174" s="244">
        <f>+E174+F174+G174</f>
        <v>3450243</v>
      </c>
      <c r="E174" s="853">
        <f>1666139+1784104</f>
        <v>3450243</v>
      </c>
      <c r="F174" s="877">
        <v>0</v>
      </c>
      <c r="G174" s="877">
        <v>0</v>
      </c>
      <c r="H174" s="269">
        <v>0</v>
      </c>
      <c r="I174" s="246">
        <f>E174+F174+K174</f>
        <v>3450243</v>
      </c>
      <c r="J174" s="780">
        <f t="shared" si="128"/>
        <v>100</v>
      </c>
      <c r="K174" s="877">
        <v>0</v>
      </c>
      <c r="L174" s="782">
        <v>0</v>
      </c>
      <c r="M174" s="247">
        <f t="shared" si="139"/>
        <v>0</v>
      </c>
      <c r="N174" s="3101"/>
      <c r="O174" s="218"/>
    </row>
    <row r="175" spans="1:15" ht="12" customHeight="1" x14ac:dyDescent="0.2">
      <c r="A175" s="3132"/>
      <c r="B175" s="253" t="s">
        <v>12</v>
      </c>
      <c r="C175" s="3209"/>
      <c r="D175" s="254">
        <f t="shared" ref="D175:I175" si="142">+D176</f>
        <v>8555851</v>
      </c>
      <c r="E175" s="255">
        <f t="shared" si="142"/>
        <v>8555851</v>
      </c>
      <c r="F175" s="257">
        <f t="shared" si="142"/>
        <v>0</v>
      </c>
      <c r="G175" s="257">
        <f t="shared" si="142"/>
        <v>0</v>
      </c>
      <c r="H175" s="256">
        <f t="shared" si="142"/>
        <v>0</v>
      </c>
      <c r="I175" s="254">
        <f t="shared" si="142"/>
        <v>8555851</v>
      </c>
      <c r="J175" s="26">
        <f t="shared" si="128"/>
        <v>100</v>
      </c>
      <c r="K175" s="257">
        <f>+K176</f>
        <v>0</v>
      </c>
      <c r="L175" s="258">
        <v>0</v>
      </c>
      <c r="M175" s="778">
        <f t="shared" si="139"/>
        <v>0</v>
      </c>
      <c r="N175" s="3101"/>
      <c r="O175" s="218"/>
    </row>
    <row r="176" spans="1:15" ht="12.75" customHeight="1" thickBot="1" x14ac:dyDescent="0.25">
      <c r="A176" s="3181"/>
      <c r="B176" s="828" t="s">
        <v>14</v>
      </c>
      <c r="C176" s="3210"/>
      <c r="D176" s="262">
        <f>+E176+F176+G176</f>
        <v>8555851</v>
      </c>
      <c r="E176" s="263">
        <f>3895966+4659885</f>
        <v>8555851</v>
      </c>
      <c r="F176" s="818">
        <v>0</v>
      </c>
      <c r="G176" s="818">
        <v>0</v>
      </c>
      <c r="H176" s="272">
        <v>0</v>
      </c>
      <c r="I176" s="264">
        <f>E176+F176+K176</f>
        <v>8555851</v>
      </c>
      <c r="J176" s="801">
        <f t="shared" si="128"/>
        <v>100</v>
      </c>
      <c r="K176" s="818">
        <v>0</v>
      </c>
      <c r="L176" s="876">
        <v>0</v>
      </c>
      <c r="M176" s="247">
        <f t="shared" si="139"/>
        <v>0</v>
      </c>
      <c r="N176" s="3186"/>
      <c r="O176" s="218"/>
    </row>
    <row r="177" spans="1:15" ht="27" customHeight="1" x14ac:dyDescent="0.2">
      <c r="A177" s="3130" t="s">
        <v>50</v>
      </c>
      <c r="B177" s="831" t="s">
        <v>245</v>
      </c>
      <c r="C177" s="236" t="s">
        <v>166</v>
      </c>
      <c r="D177" s="291"/>
      <c r="E177" s="292"/>
      <c r="F177" s="292"/>
      <c r="G177" s="292"/>
      <c r="H177" s="878"/>
      <c r="I177" s="291"/>
      <c r="J177" s="292"/>
      <c r="K177" s="292"/>
      <c r="L177" s="879"/>
      <c r="M177" s="879"/>
      <c r="N177" s="3127" t="s">
        <v>37</v>
      </c>
      <c r="O177" s="218"/>
    </row>
    <row r="178" spans="1:15" x14ac:dyDescent="0.2">
      <c r="A178" s="3131"/>
      <c r="B178" s="220" t="s">
        <v>2</v>
      </c>
      <c r="C178" s="25"/>
      <c r="D178" s="233">
        <f t="shared" ref="D178:I178" si="143">+D179+D182</f>
        <v>25964517</v>
      </c>
      <c r="E178" s="234">
        <f t="shared" si="143"/>
        <v>25823067</v>
      </c>
      <c r="F178" s="234">
        <f>+F179+F182</f>
        <v>122140</v>
      </c>
      <c r="G178" s="234">
        <f t="shared" si="143"/>
        <v>19310</v>
      </c>
      <c r="H178" s="234">
        <f t="shared" si="143"/>
        <v>0</v>
      </c>
      <c r="I178" s="233">
        <f t="shared" si="143"/>
        <v>25957708</v>
      </c>
      <c r="J178" s="743">
        <f t="shared" si="128"/>
        <v>99.973775749419872</v>
      </c>
      <c r="K178" s="234">
        <f>+K179+K182</f>
        <v>12501</v>
      </c>
      <c r="L178" s="771">
        <f t="shared" ref="L178:L229" si="144">K178/G178*100</f>
        <v>64.738477472812022</v>
      </c>
      <c r="M178" s="241">
        <f t="shared" ref="M178:M188" si="145">+K178-G178</f>
        <v>-6809</v>
      </c>
      <c r="N178" s="3187"/>
      <c r="O178" s="218"/>
    </row>
    <row r="179" spans="1:15" ht="13.5" customHeight="1" x14ac:dyDescent="0.2">
      <c r="A179" s="3131"/>
      <c r="B179" s="880" t="s">
        <v>17</v>
      </c>
      <c r="C179" s="3156" t="s">
        <v>38</v>
      </c>
      <c r="D179" s="881">
        <f t="shared" ref="D179:I179" si="146">+D180+D181</f>
        <v>11324927</v>
      </c>
      <c r="E179" s="882">
        <f t="shared" si="146"/>
        <v>11183477</v>
      </c>
      <c r="F179" s="882">
        <f>+F180+F181</f>
        <v>122140</v>
      </c>
      <c r="G179" s="882">
        <f t="shared" si="146"/>
        <v>19310</v>
      </c>
      <c r="H179" s="882">
        <f t="shared" si="146"/>
        <v>0</v>
      </c>
      <c r="I179" s="881">
        <f t="shared" si="146"/>
        <v>11318118</v>
      </c>
      <c r="J179" s="883">
        <f t="shared" si="128"/>
        <v>99.939875992136635</v>
      </c>
      <c r="K179" s="884">
        <f>+K180+K181</f>
        <v>12501</v>
      </c>
      <c r="L179" s="885">
        <f t="shared" si="144"/>
        <v>64.738477472812022</v>
      </c>
      <c r="M179" s="778">
        <f t="shared" si="145"/>
        <v>-6809</v>
      </c>
      <c r="N179" s="3187"/>
      <c r="O179" s="218"/>
    </row>
    <row r="180" spans="1:15" ht="12.75" customHeight="1" x14ac:dyDescent="0.2">
      <c r="A180" s="3131"/>
      <c r="B180" s="243" t="s">
        <v>4</v>
      </c>
      <c r="C180" s="3101"/>
      <c r="D180" s="244">
        <f>+E180+F180+G180+H180</f>
        <v>6357546</v>
      </c>
      <c r="E180" s="779">
        <f>56178+2975893+3176005+8020</f>
        <v>6216096</v>
      </c>
      <c r="F180" s="779">
        <v>122140</v>
      </c>
      <c r="G180" s="779">
        <v>19310</v>
      </c>
      <c r="H180" s="779">
        <v>0</v>
      </c>
      <c r="I180" s="274">
        <f>E180+F180+K180</f>
        <v>6350737</v>
      </c>
      <c r="J180" s="780">
        <f t="shared" si="128"/>
        <v>99.892898926724243</v>
      </c>
      <c r="K180" s="779">
        <v>12501</v>
      </c>
      <c r="L180" s="781">
        <f t="shared" si="144"/>
        <v>64.738477472812022</v>
      </c>
      <c r="M180" s="247">
        <f t="shared" si="145"/>
        <v>-6809</v>
      </c>
      <c r="N180" s="3187"/>
      <c r="O180" s="218"/>
    </row>
    <row r="181" spans="1:15" ht="13.5" customHeight="1" x14ac:dyDescent="0.2">
      <c r="A181" s="3131"/>
      <c r="B181" s="290" t="s">
        <v>9</v>
      </c>
      <c r="C181" s="3101"/>
      <c r="D181" s="244">
        <f>++E181+F181+G181</f>
        <v>4967381</v>
      </c>
      <c r="E181" s="779">
        <f>3643961+1323420</f>
        <v>4967381</v>
      </c>
      <c r="F181" s="260">
        <v>0</v>
      </c>
      <c r="G181" s="260">
        <v>0</v>
      </c>
      <c r="H181" s="269">
        <v>0</v>
      </c>
      <c r="I181" s="274">
        <f>E181+F181+K181</f>
        <v>4967381</v>
      </c>
      <c r="J181" s="249">
        <f t="shared" si="128"/>
        <v>100</v>
      </c>
      <c r="K181" s="250">
        <v>0</v>
      </c>
      <c r="L181" s="251">
        <v>0</v>
      </c>
      <c r="M181" s="247">
        <f t="shared" si="145"/>
        <v>0</v>
      </c>
      <c r="N181" s="3187"/>
      <c r="O181" s="218"/>
    </row>
    <row r="182" spans="1:15" ht="13.5" customHeight="1" x14ac:dyDescent="0.2">
      <c r="A182" s="3131"/>
      <c r="B182" s="253" t="s">
        <v>12</v>
      </c>
      <c r="C182" s="3101"/>
      <c r="D182" s="254">
        <f t="shared" ref="D182:I182" si="147">+D183</f>
        <v>14639590</v>
      </c>
      <c r="E182" s="255">
        <f t="shared" si="147"/>
        <v>14639590</v>
      </c>
      <c r="F182" s="257">
        <f>+F183</f>
        <v>0</v>
      </c>
      <c r="G182" s="257">
        <f t="shared" si="147"/>
        <v>0</v>
      </c>
      <c r="H182" s="256">
        <f t="shared" si="147"/>
        <v>0</v>
      </c>
      <c r="I182" s="254">
        <f t="shared" si="147"/>
        <v>14639590</v>
      </c>
      <c r="J182" s="26">
        <f t="shared" si="128"/>
        <v>100</v>
      </c>
      <c r="K182" s="257">
        <f>+K183</f>
        <v>0</v>
      </c>
      <c r="L182" s="258">
        <v>0</v>
      </c>
      <c r="M182" s="778">
        <f t="shared" si="145"/>
        <v>0</v>
      </c>
      <c r="N182" s="3187"/>
      <c r="O182" s="218"/>
    </row>
    <row r="183" spans="1:15" ht="13.5" customHeight="1" x14ac:dyDescent="0.2">
      <c r="A183" s="3131"/>
      <c r="B183" s="243" t="s">
        <v>14</v>
      </c>
      <c r="C183" s="3101"/>
      <c r="D183" s="244">
        <f>+E183+F183+G183</f>
        <v>14639590</v>
      </c>
      <c r="E183" s="779">
        <f>5078+8549311+6085201</f>
        <v>14639590</v>
      </c>
      <c r="F183" s="260">
        <v>0</v>
      </c>
      <c r="G183" s="260">
        <v>0</v>
      </c>
      <c r="H183" s="269">
        <v>0</v>
      </c>
      <c r="I183" s="274">
        <f>E183+F183+K183</f>
        <v>14639590</v>
      </c>
      <c r="J183" s="780">
        <f t="shared" si="128"/>
        <v>100</v>
      </c>
      <c r="K183" s="250">
        <v>0</v>
      </c>
      <c r="L183" s="782">
        <v>0</v>
      </c>
      <c r="M183" s="247">
        <f t="shared" si="145"/>
        <v>0</v>
      </c>
      <c r="N183" s="3187"/>
      <c r="O183" s="218"/>
    </row>
    <row r="184" spans="1:15" x14ac:dyDescent="0.2">
      <c r="A184" s="3132"/>
      <c r="B184" s="220" t="s">
        <v>16</v>
      </c>
      <c r="C184" s="25"/>
      <c r="D184" s="233">
        <f t="shared" ref="D184:I184" si="148">+D185+D187</f>
        <v>19606971</v>
      </c>
      <c r="E184" s="234">
        <f t="shared" si="148"/>
        <v>19606971</v>
      </c>
      <c r="F184" s="234">
        <f>+F185+F187</f>
        <v>0</v>
      </c>
      <c r="G184" s="287">
        <f t="shared" si="148"/>
        <v>0</v>
      </c>
      <c r="H184" s="261">
        <f t="shared" si="148"/>
        <v>0</v>
      </c>
      <c r="I184" s="233">
        <f t="shared" si="148"/>
        <v>19606971</v>
      </c>
      <c r="J184" s="743">
        <f t="shared" si="128"/>
        <v>100</v>
      </c>
      <c r="K184" s="287">
        <f>+K185+K187</f>
        <v>0</v>
      </c>
      <c r="L184" s="824">
        <v>0</v>
      </c>
      <c r="M184" s="241">
        <f t="shared" si="145"/>
        <v>0</v>
      </c>
      <c r="N184" s="3101"/>
      <c r="O184" s="218"/>
    </row>
    <row r="185" spans="1:15" ht="13.5" customHeight="1" x14ac:dyDescent="0.2">
      <c r="A185" s="3132"/>
      <c r="B185" s="880" t="s">
        <v>17</v>
      </c>
      <c r="C185" s="3155" t="s">
        <v>51</v>
      </c>
      <c r="D185" s="886">
        <f t="shared" ref="D185:I185" si="149">+D186</f>
        <v>4967381</v>
      </c>
      <c r="E185" s="887">
        <f t="shared" si="149"/>
        <v>4967381</v>
      </c>
      <c r="F185" s="888">
        <f>+F186</f>
        <v>0</v>
      </c>
      <c r="G185" s="888">
        <f t="shared" si="149"/>
        <v>0</v>
      </c>
      <c r="H185" s="889">
        <f t="shared" si="149"/>
        <v>0</v>
      </c>
      <c r="I185" s="886">
        <f t="shared" si="149"/>
        <v>4967381</v>
      </c>
      <c r="J185" s="883">
        <f t="shared" si="128"/>
        <v>100</v>
      </c>
      <c r="K185" s="888">
        <f>+K186</f>
        <v>0</v>
      </c>
      <c r="L185" s="890">
        <v>0</v>
      </c>
      <c r="M185" s="778">
        <f t="shared" si="145"/>
        <v>0</v>
      </c>
      <c r="N185" s="3101"/>
      <c r="O185" s="218"/>
    </row>
    <row r="186" spans="1:15" ht="12.75" customHeight="1" x14ac:dyDescent="0.2">
      <c r="A186" s="3132"/>
      <c r="B186" s="290" t="s">
        <v>9</v>
      </c>
      <c r="C186" s="3155"/>
      <c r="D186" s="244">
        <f>+E186+F186+G186</f>
        <v>4967381</v>
      </c>
      <c r="E186" s="853">
        <f>1336670+3643961-13250</f>
        <v>4967381</v>
      </c>
      <c r="F186" s="877">
        <v>0</v>
      </c>
      <c r="G186" s="877">
        <v>0</v>
      </c>
      <c r="H186" s="862">
        <v>0</v>
      </c>
      <c r="I186" s="274">
        <f>E186+F186+K186</f>
        <v>4967381</v>
      </c>
      <c r="J186" s="780">
        <f t="shared" si="128"/>
        <v>100</v>
      </c>
      <c r="K186" s="877">
        <v>0</v>
      </c>
      <c r="L186" s="782">
        <v>0</v>
      </c>
      <c r="M186" s="247">
        <f t="shared" si="145"/>
        <v>0</v>
      </c>
      <c r="N186" s="3101"/>
      <c r="O186" s="218"/>
    </row>
    <row r="187" spans="1:15" ht="12" customHeight="1" x14ac:dyDescent="0.2">
      <c r="A187" s="3132"/>
      <c r="B187" s="253" t="s">
        <v>12</v>
      </c>
      <c r="C187" s="3155"/>
      <c r="D187" s="254">
        <f t="shared" ref="D187:I187" si="150">+D188</f>
        <v>14639590</v>
      </c>
      <c r="E187" s="255">
        <f t="shared" si="150"/>
        <v>14639590</v>
      </c>
      <c r="F187" s="255">
        <f>+F188</f>
        <v>0</v>
      </c>
      <c r="G187" s="257">
        <f t="shared" si="150"/>
        <v>0</v>
      </c>
      <c r="H187" s="256">
        <f t="shared" si="150"/>
        <v>0</v>
      </c>
      <c r="I187" s="254">
        <f t="shared" si="150"/>
        <v>14639590</v>
      </c>
      <c r="J187" s="26">
        <f t="shared" si="128"/>
        <v>100</v>
      </c>
      <c r="K187" s="257">
        <f>+K188</f>
        <v>0</v>
      </c>
      <c r="L187" s="258">
        <v>0</v>
      </c>
      <c r="M187" s="778">
        <f t="shared" si="145"/>
        <v>0</v>
      </c>
      <c r="N187" s="3101"/>
      <c r="O187" s="218"/>
    </row>
    <row r="188" spans="1:15" ht="11.25" customHeight="1" thickBot="1" x14ac:dyDescent="0.25">
      <c r="A188" s="3133"/>
      <c r="B188" s="828" t="s">
        <v>14</v>
      </c>
      <c r="C188" s="3206"/>
      <c r="D188" s="262">
        <f>+E188+F188+G188+H188</f>
        <v>14639590</v>
      </c>
      <c r="E188" s="263">
        <f>5451106+6981085+2207399</f>
        <v>14639590</v>
      </c>
      <c r="F188" s="263">
        <v>0</v>
      </c>
      <c r="G188" s="818">
        <v>0</v>
      </c>
      <c r="H188" s="891">
        <v>0</v>
      </c>
      <c r="I188" s="845">
        <f>E188+F188+K188</f>
        <v>14639590</v>
      </c>
      <c r="J188" s="801">
        <f t="shared" si="128"/>
        <v>100</v>
      </c>
      <c r="K188" s="818">
        <v>0</v>
      </c>
      <c r="L188" s="876">
        <v>0</v>
      </c>
      <c r="M188" s="263">
        <f t="shared" si="145"/>
        <v>0</v>
      </c>
      <c r="N188" s="3104"/>
      <c r="O188" s="218"/>
    </row>
    <row r="189" spans="1:15" ht="27" customHeight="1" x14ac:dyDescent="0.2">
      <c r="A189" s="3130" t="s">
        <v>52</v>
      </c>
      <c r="B189" s="831" t="s">
        <v>246</v>
      </c>
      <c r="C189" s="236" t="s">
        <v>166</v>
      </c>
      <c r="D189" s="237"/>
      <c r="E189" s="238"/>
      <c r="F189" s="238"/>
      <c r="G189" s="238"/>
      <c r="H189" s="239"/>
      <c r="I189" s="237"/>
      <c r="J189" s="238"/>
      <c r="K189" s="238"/>
      <c r="L189" s="240"/>
      <c r="M189" s="240"/>
      <c r="N189" s="3127" t="s">
        <v>37</v>
      </c>
      <c r="O189" s="218"/>
    </row>
    <row r="190" spans="1:15" ht="11.25" customHeight="1" x14ac:dyDescent="0.2">
      <c r="A190" s="3131"/>
      <c r="B190" s="220" t="s">
        <v>2</v>
      </c>
      <c r="C190" s="25"/>
      <c r="D190" s="233">
        <f t="shared" ref="D190:I190" si="151">+D191+D194</f>
        <v>26202703</v>
      </c>
      <c r="E190" s="234">
        <f t="shared" si="151"/>
        <v>25872703</v>
      </c>
      <c r="F190" s="234">
        <f>+F191+F194</f>
        <v>168920</v>
      </c>
      <c r="G190" s="234">
        <f t="shared" si="151"/>
        <v>161080</v>
      </c>
      <c r="H190" s="234">
        <f t="shared" si="151"/>
        <v>0</v>
      </c>
      <c r="I190" s="233">
        <f t="shared" si="151"/>
        <v>26041623</v>
      </c>
      <c r="J190" s="743">
        <f t="shared" si="128"/>
        <v>99.38525426174543</v>
      </c>
      <c r="K190" s="234">
        <f>+K191+K194</f>
        <v>0</v>
      </c>
      <c r="L190" s="771">
        <f t="shared" si="144"/>
        <v>0</v>
      </c>
      <c r="M190" s="241">
        <f t="shared" ref="M190:M200" si="152">+K190-G190</f>
        <v>-161080</v>
      </c>
      <c r="N190" s="3187"/>
      <c r="O190" s="218"/>
    </row>
    <row r="191" spans="1:15" ht="13.5" customHeight="1" x14ac:dyDescent="0.2">
      <c r="A191" s="3131"/>
      <c r="B191" s="880" t="s">
        <v>17</v>
      </c>
      <c r="C191" s="3156" t="s">
        <v>38</v>
      </c>
      <c r="D191" s="886">
        <f t="shared" ref="D191:I191" si="153">+D192+D193</f>
        <v>7689538</v>
      </c>
      <c r="E191" s="887">
        <f t="shared" si="153"/>
        <v>7359538</v>
      </c>
      <c r="F191" s="887">
        <f>+F192+F193</f>
        <v>168920</v>
      </c>
      <c r="G191" s="887">
        <f t="shared" si="153"/>
        <v>161080</v>
      </c>
      <c r="H191" s="887">
        <f t="shared" si="153"/>
        <v>0</v>
      </c>
      <c r="I191" s="886">
        <f t="shared" si="153"/>
        <v>7528458</v>
      </c>
      <c r="J191" s="883">
        <f t="shared" si="128"/>
        <v>97.905205748381761</v>
      </c>
      <c r="K191" s="887">
        <f>+K192+K193</f>
        <v>0</v>
      </c>
      <c r="L191" s="885">
        <f t="shared" si="144"/>
        <v>0</v>
      </c>
      <c r="M191" s="778">
        <f t="shared" si="152"/>
        <v>-161080</v>
      </c>
      <c r="N191" s="3187"/>
      <c r="O191" s="218"/>
    </row>
    <row r="192" spans="1:15" ht="12.75" customHeight="1" x14ac:dyDescent="0.2">
      <c r="A192" s="3131"/>
      <c r="B192" s="243" t="s">
        <v>4</v>
      </c>
      <c r="C192" s="3101"/>
      <c r="D192" s="244">
        <f>+E192+F192+G192+H192</f>
        <v>6689538</v>
      </c>
      <c r="E192" s="779">
        <f>271955+317595+1617917+4152071</f>
        <v>6359538</v>
      </c>
      <c r="F192" s="779">
        <v>168920</v>
      </c>
      <c r="G192" s="779">
        <v>161080</v>
      </c>
      <c r="H192" s="779">
        <v>0</v>
      </c>
      <c r="I192" s="274">
        <f>E192+F192+K192</f>
        <v>6528458</v>
      </c>
      <c r="J192" s="780">
        <f t="shared" si="128"/>
        <v>97.592060916613377</v>
      </c>
      <c r="K192" s="779">
        <v>0</v>
      </c>
      <c r="L192" s="781">
        <f t="shared" si="144"/>
        <v>0</v>
      </c>
      <c r="M192" s="247">
        <f t="shared" si="152"/>
        <v>-161080</v>
      </c>
      <c r="N192" s="3187"/>
      <c r="O192" s="218"/>
    </row>
    <row r="193" spans="1:15" ht="11.25" customHeight="1" x14ac:dyDescent="0.2">
      <c r="A193" s="3131"/>
      <c r="B193" s="243" t="s">
        <v>56</v>
      </c>
      <c r="C193" s="3101"/>
      <c r="D193" s="244">
        <f>+E193+F193+G193</f>
        <v>1000000</v>
      </c>
      <c r="E193" s="779">
        <v>1000000</v>
      </c>
      <c r="F193" s="779">
        <v>0</v>
      </c>
      <c r="G193" s="250">
        <v>0</v>
      </c>
      <c r="H193" s="248">
        <v>0</v>
      </c>
      <c r="I193" s="274">
        <f>E193+F193+K193</f>
        <v>1000000</v>
      </c>
      <c r="J193" s="249">
        <f t="shared" si="128"/>
        <v>100</v>
      </c>
      <c r="K193" s="250">
        <v>0</v>
      </c>
      <c r="L193" s="782">
        <v>0</v>
      </c>
      <c r="M193" s="247">
        <f t="shared" si="152"/>
        <v>0</v>
      </c>
      <c r="N193" s="3187"/>
      <c r="O193" s="218"/>
    </row>
    <row r="194" spans="1:15" ht="13.5" customHeight="1" x14ac:dyDescent="0.2">
      <c r="A194" s="3131"/>
      <c r="B194" s="253" t="s">
        <v>12</v>
      </c>
      <c r="C194" s="3101"/>
      <c r="D194" s="254">
        <f t="shared" ref="D194:I194" si="154">+D195</f>
        <v>18513165</v>
      </c>
      <c r="E194" s="255">
        <f t="shared" si="154"/>
        <v>18513165</v>
      </c>
      <c r="F194" s="255">
        <f>+F195</f>
        <v>0</v>
      </c>
      <c r="G194" s="257">
        <f t="shared" si="154"/>
        <v>0</v>
      </c>
      <c r="H194" s="256">
        <f t="shared" si="154"/>
        <v>0</v>
      </c>
      <c r="I194" s="254">
        <f t="shared" si="154"/>
        <v>18513165</v>
      </c>
      <c r="J194" s="26">
        <f t="shared" ref="J194:J259" si="155">I194/D194*100</f>
        <v>100</v>
      </c>
      <c r="K194" s="257">
        <f>+K195</f>
        <v>0</v>
      </c>
      <c r="L194" s="782">
        <v>0</v>
      </c>
      <c r="M194" s="778">
        <f t="shared" si="152"/>
        <v>0</v>
      </c>
      <c r="N194" s="3187"/>
      <c r="O194" s="218"/>
    </row>
    <row r="195" spans="1:15" ht="11.25" customHeight="1" x14ac:dyDescent="0.2">
      <c r="A195" s="3131"/>
      <c r="B195" s="243" t="s">
        <v>14</v>
      </c>
      <c r="C195" s="3101"/>
      <c r="D195" s="244">
        <f>+E195+F195+G195+H195</f>
        <v>18513165</v>
      </c>
      <c r="E195" s="779">
        <f>728023+790793+4631888+12362461</f>
        <v>18513165</v>
      </c>
      <c r="F195" s="779">
        <v>0</v>
      </c>
      <c r="G195" s="250">
        <v>0</v>
      </c>
      <c r="H195" s="794">
        <v>0</v>
      </c>
      <c r="I195" s="274">
        <f>E195+F195+K195</f>
        <v>18513165</v>
      </c>
      <c r="J195" s="780">
        <f t="shared" si="155"/>
        <v>100</v>
      </c>
      <c r="K195" s="250">
        <v>0</v>
      </c>
      <c r="L195" s="782">
        <v>0</v>
      </c>
      <c r="M195" s="247">
        <f t="shared" si="152"/>
        <v>0</v>
      </c>
      <c r="N195" s="3187"/>
      <c r="O195" s="218"/>
    </row>
    <row r="196" spans="1:15" ht="11.25" customHeight="1" x14ac:dyDescent="0.2">
      <c r="A196" s="3132"/>
      <c r="B196" s="220" t="s">
        <v>16</v>
      </c>
      <c r="C196" s="25"/>
      <c r="D196" s="233">
        <f t="shared" ref="D196:I196" si="156">+D199+D197</f>
        <v>19513165</v>
      </c>
      <c r="E196" s="234">
        <f t="shared" ref="E196" si="157">+E199+E197</f>
        <v>16538036</v>
      </c>
      <c r="F196" s="234">
        <f>+F199+F197</f>
        <v>2975129</v>
      </c>
      <c r="G196" s="234">
        <f t="shared" si="156"/>
        <v>0</v>
      </c>
      <c r="H196" s="261">
        <f t="shared" si="156"/>
        <v>0</v>
      </c>
      <c r="I196" s="233">
        <f t="shared" si="156"/>
        <v>19513165</v>
      </c>
      <c r="J196" s="743">
        <f t="shared" si="155"/>
        <v>100</v>
      </c>
      <c r="K196" s="234">
        <f>+K199+K197</f>
        <v>0</v>
      </c>
      <c r="L196" s="824">
        <v>0</v>
      </c>
      <c r="M196" s="241">
        <f t="shared" si="152"/>
        <v>0</v>
      </c>
      <c r="N196" s="3101"/>
      <c r="O196" s="218"/>
    </row>
    <row r="197" spans="1:15" ht="13.5" customHeight="1" x14ac:dyDescent="0.2">
      <c r="A197" s="3132"/>
      <c r="B197" s="208" t="s">
        <v>17</v>
      </c>
      <c r="C197" s="3155" t="s">
        <v>51</v>
      </c>
      <c r="D197" s="886">
        <f t="shared" ref="D197:I197" si="158">+D198</f>
        <v>1000000</v>
      </c>
      <c r="E197" s="887">
        <f t="shared" si="158"/>
        <v>1000000</v>
      </c>
      <c r="F197" s="888">
        <f>+F198</f>
        <v>0</v>
      </c>
      <c r="G197" s="888">
        <f t="shared" si="158"/>
        <v>0</v>
      </c>
      <c r="H197" s="889">
        <f t="shared" si="158"/>
        <v>0</v>
      </c>
      <c r="I197" s="886">
        <f t="shared" si="158"/>
        <v>1000000</v>
      </c>
      <c r="J197" s="883">
        <f t="shared" si="155"/>
        <v>100</v>
      </c>
      <c r="K197" s="888">
        <f>+K198</f>
        <v>0</v>
      </c>
      <c r="L197" s="890">
        <v>0</v>
      </c>
      <c r="M197" s="778">
        <f t="shared" si="152"/>
        <v>0</v>
      </c>
      <c r="N197" s="3101"/>
      <c r="O197" s="218"/>
    </row>
    <row r="198" spans="1:15" ht="13.5" customHeight="1" x14ac:dyDescent="0.2">
      <c r="A198" s="3132"/>
      <c r="B198" s="243" t="s">
        <v>56</v>
      </c>
      <c r="C198" s="3155"/>
      <c r="D198" s="244">
        <f>+E198+F198+G198+H198</f>
        <v>1000000</v>
      </c>
      <c r="E198" s="779">
        <v>1000000</v>
      </c>
      <c r="F198" s="250">
        <v>0</v>
      </c>
      <c r="G198" s="250">
        <v>0</v>
      </c>
      <c r="H198" s="248">
        <v>0</v>
      </c>
      <c r="I198" s="274">
        <f>E198+F198+K198</f>
        <v>1000000</v>
      </c>
      <c r="J198" s="780">
        <f t="shared" si="155"/>
        <v>100</v>
      </c>
      <c r="K198" s="250">
        <v>0</v>
      </c>
      <c r="L198" s="782">
        <v>0</v>
      </c>
      <c r="M198" s="247">
        <f t="shared" si="152"/>
        <v>0</v>
      </c>
      <c r="N198" s="3101"/>
      <c r="O198" s="218"/>
    </row>
    <row r="199" spans="1:15" ht="12" customHeight="1" x14ac:dyDescent="0.2">
      <c r="A199" s="3132"/>
      <c r="B199" s="253" t="s">
        <v>12</v>
      </c>
      <c r="C199" s="3155"/>
      <c r="D199" s="254">
        <f t="shared" ref="D199:I199" si="159">+D200</f>
        <v>18513165</v>
      </c>
      <c r="E199" s="255">
        <f t="shared" si="159"/>
        <v>15538036</v>
      </c>
      <c r="F199" s="255">
        <f>+F200</f>
        <v>2975129</v>
      </c>
      <c r="G199" s="255">
        <f t="shared" si="159"/>
        <v>0</v>
      </c>
      <c r="H199" s="256">
        <f t="shared" si="159"/>
        <v>0</v>
      </c>
      <c r="I199" s="254">
        <f t="shared" si="159"/>
        <v>18513165</v>
      </c>
      <c r="J199" s="26">
        <f t="shared" si="155"/>
        <v>100</v>
      </c>
      <c r="K199" s="255">
        <f>+K200</f>
        <v>0</v>
      </c>
      <c r="L199" s="258">
        <v>0</v>
      </c>
      <c r="M199" s="778">
        <f t="shared" si="152"/>
        <v>0</v>
      </c>
      <c r="N199" s="3101"/>
      <c r="O199" s="218"/>
    </row>
    <row r="200" spans="1:15" ht="13.5" customHeight="1" thickBot="1" x14ac:dyDescent="0.25">
      <c r="A200" s="3181"/>
      <c r="B200" s="892" t="s">
        <v>14</v>
      </c>
      <c r="C200" s="3155"/>
      <c r="D200" s="893">
        <f>+E200+F200+G200+H200</f>
        <v>18513165</v>
      </c>
      <c r="E200" s="894">
        <f>2294283+13243753</f>
        <v>15538036</v>
      </c>
      <c r="F200" s="894">
        <v>2975129</v>
      </c>
      <c r="G200" s="894">
        <v>0</v>
      </c>
      <c r="H200" s="895">
        <v>0</v>
      </c>
      <c r="I200" s="896">
        <f>E200+F200+K200</f>
        <v>18513165</v>
      </c>
      <c r="J200" s="897">
        <f t="shared" si="155"/>
        <v>100</v>
      </c>
      <c r="K200" s="894">
        <v>0</v>
      </c>
      <c r="L200" s="898">
        <v>0</v>
      </c>
      <c r="M200" s="247">
        <f t="shared" si="152"/>
        <v>0</v>
      </c>
      <c r="N200" s="3186"/>
      <c r="O200" s="218"/>
    </row>
    <row r="201" spans="1:15" ht="25.5" customHeight="1" x14ac:dyDescent="0.2">
      <c r="A201" s="3130" t="s">
        <v>53</v>
      </c>
      <c r="B201" s="766" t="s">
        <v>277</v>
      </c>
      <c r="C201" s="236" t="s">
        <v>166</v>
      </c>
      <c r="D201" s="237"/>
      <c r="E201" s="238"/>
      <c r="F201" s="238"/>
      <c r="G201" s="238"/>
      <c r="H201" s="239"/>
      <c r="I201" s="237"/>
      <c r="J201" s="238"/>
      <c r="K201" s="238"/>
      <c r="L201" s="240"/>
      <c r="M201" s="240"/>
      <c r="N201" s="3127" t="s">
        <v>37</v>
      </c>
      <c r="O201" s="218"/>
    </row>
    <row r="202" spans="1:15" ht="12.75" customHeight="1" x14ac:dyDescent="0.2">
      <c r="A202" s="3131"/>
      <c r="B202" s="220" t="s">
        <v>2</v>
      </c>
      <c r="C202" s="25"/>
      <c r="D202" s="807">
        <f t="shared" ref="D202:I202" si="160">+D203+D205</f>
        <v>16556550</v>
      </c>
      <c r="E202" s="808">
        <f t="shared" si="160"/>
        <v>4443344</v>
      </c>
      <c r="F202" s="808">
        <f>+F203+F205</f>
        <v>2500000</v>
      </c>
      <c r="G202" s="808">
        <f t="shared" si="160"/>
        <v>9613206</v>
      </c>
      <c r="H202" s="808">
        <f t="shared" si="160"/>
        <v>0</v>
      </c>
      <c r="I202" s="807">
        <f t="shared" si="160"/>
        <v>6902327</v>
      </c>
      <c r="J202" s="743">
        <f t="shared" si="155"/>
        <v>41.689403891511212</v>
      </c>
      <c r="K202" s="808">
        <f>+K203+K205</f>
        <v>157336</v>
      </c>
      <c r="L202" s="771">
        <f t="shared" si="144"/>
        <v>1.6366652290609396</v>
      </c>
      <c r="M202" s="241">
        <f t="shared" ref="M202:M209" si="161">+K202-G202</f>
        <v>-9455870</v>
      </c>
      <c r="N202" s="3187"/>
      <c r="O202" s="218"/>
    </row>
    <row r="203" spans="1:15" ht="12.75" customHeight="1" x14ac:dyDescent="0.2">
      <c r="A203" s="3131"/>
      <c r="B203" s="242" t="s">
        <v>17</v>
      </c>
      <c r="C203" s="3100" t="s">
        <v>38</v>
      </c>
      <c r="D203" s="899">
        <f t="shared" ref="D203:I203" si="162">+D204</f>
        <v>1534550</v>
      </c>
      <c r="E203" s="900">
        <f t="shared" si="162"/>
        <v>840435</v>
      </c>
      <c r="F203" s="900">
        <f>+F204</f>
        <v>400000</v>
      </c>
      <c r="G203" s="900">
        <f t="shared" si="162"/>
        <v>294115</v>
      </c>
      <c r="H203" s="900">
        <f t="shared" si="162"/>
        <v>0</v>
      </c>
      <c r="I203" s="899">
        <f t="shared" si="162"/>
        <v>1296597</v>
      </c>
      <c r="J203" s="26">
        <f t="shared" si="155"/>
        <v>84.493630054413345</v>
      </c>
      <c r="K203" s="900">
        <f>+K204</f>
        <v>157336</v>
      </c>
      <c r="L203" s="834">
        <f t="shared" si="144"/>
        <v>53.494721452493074</v>
      </c>
      <c r="M203" s="778">
        <f t="shared" si="161"/>
        <v>-136779</v>
      </c>
      <c r="N203" s="3187"/>
      <c r="O203" s="218"/>
    </row>
    <row r="204" spans="1:15" ht="12.75" customHeight="1" x14ac:dyDescent="0.2">
      <c r="A204" s="3131"/>
      <c r="B204" s="243" t="s">
        <v>4</v>
      </c>
      <c r="C204" s="3101"/>
      <c r="D204" s="244">
        <f>++E204+F204+G204+H204</f>
        <v>1534550</v>
      </c>
      <c r="E204" s="245">
        <f>122000+12200+706235</f>
        <v>840435</v>
      </c>
      <c r="F204" s="245">
        <v>400000</v>
      </c>
      <c r="G204" s="245">
        <v>294115</v>
      </c>
      <c r="H204" s="245">
        <v>0</v>
      </c>
      <c r="I204" s="274">
        <f>E204+F204+K204-101174</f>
        <v>1296597</v>
      </c>
      <c r="J204" s="780">
        <f t="shared" si="155"/>
        <v>84.493630054413345</v>
      </c>
      <c r="K204" s="779">
        <v>157336</v>
      </c>
      <c r="L204" s="781">
        <f t="shared" si="144"/>
        <v>53.494721452493074</v>
      </c>
      <c r="M204" s="247">
        <f t="shared" si="161"/>
        <v>-136779</v>
      </c>
      <c r="N204" s="3187"/>
      <c r="O204" s="218"/>
    </row>
    <row r="205" spans="1:15" ht="12.75" customHeight="1" x14ac:dyDescent="0.2">
      <c r="A205" s="3131"/>
      <c r="B205" s="253" t="s">
        <v>12</v>
      </c>
      <c r="C205" s="3101"/>
      <c r="D205" s="254">
        <f t="shared" ref="D205:I205" si="163">+D206</f>
        <v>15022000</v>
      </c>
      <c r="E205" s="255">
        <f t="shared" si="163"/>
        <v>3602909</v>
      </c>
      <c r="F205" s="255">
        <f>+F206</f>
        <v>2100000</v>
      </c>
      <c r="G205" s="255">
        <f t="shared" si="163"/>
        <v>9319091</v>
      </c>
      <c r="H205" s="255">
        <f t="shared" si="163"/>
        <v>0</v>
      </c>
      <c r="I205" s="254">
        <f t="shared" si="163"/>
        <v>5605730</v>
      </c>
      <c r="J205" s="26">
        <f t="shared" si="155"/>
        <v>37.316802023698578</v>
      </c>
      <c r="K205" s="255">
        <f>+K206</f>
        <v>0</v>
      </c>
      <c r="L205" s="834">
        <f t="shared" si="144"/>
        <v>0</v>
      </c>
      <c r="M205" s="778">
        <f t="shared" si="161"/>
        <v>-9319091</v>
      </c>
      <c r="N205" s="3187"/>
      <c r="O205" s="218"/>
    </row>
    <row r="206" spans="1:15" ht="12.75" customHeight="1" x14ac:dyDescent="0.2">
      <c r="A206" s="3131"/>
      <c r="B206" s="243" t="s">
        <v>14</v>
      </c>
      <c r="C206" s="3101"/>
      <c r="D206" s="244">
        <f>+E206+F206+G206+H206</f>
        <v>15022000</v>
      </c>
      <c r="E206" s="245">
        <f>212451+3390458</f>
        <v>3602909</v>
      </c>
      <c r="F206" s="245">
        <v>2100000</v>
      </c>
      <c r="G206" s="245">
        <v>9319091</v>
      </c>
      <c r="H206" s="245">
        <v>0</v>
      </c>
      <c r="I206" s="274">
        <f>E206+F206+K206-97179</f>
        <v>5605730</v>
      </c>
      <c r="J206" s="780">
        <f t="shared" si="155"/>
        <v>37.316802023698578</v>
      </c>
      <c r="K206" s="779"/>
      <c r="L206" s="781">
        <f t="shared" si="144"/>
        <v>0</v>
      </c>
      <c r="M206" s="247">
        <f t="shared" si="161"/>
        <v>-9319091</v>
      </c>
      <c r="N206" s="3187"/>
      <c r="O206" s="218"/>
    </row>
    <row r="207" spans="1:15" s="266" customFormat="1" ht="12.75" customHeight="1" x14ac:dyDescent="0.2">
      <c r="A207" s="3132"/>
      <c r="B207" s="220" t="s">
        <v>16</v>
      </c>
      <c r="C207" s="25"/>
      <c r="D207" s="233">
        <f t="shared" ref="D207:H208" si="164">+D208</f>
        <v>15022000</v>
      </c>
      <c r="E207" s="808">
        <f t="shared" si="164"/>
        <v>2910028</v>
      </c>
      <c r="F207" s="234">
        <f>+F208</f>
        <v>2637123</v>
      </c>
      <c r="G207" s="234">
        <f t="shared" si="164"/>
        <v>9474849</v>
      </c>
      <c r="H207" s="234">
        <f t="shared" si="164"/>
        <v>0</v>
      </c>
      <c r="I207" s="233">
        <f>+I208</f>
        <v>5547151</v>
      </c>
      <c r="J207" s="743">
        <f t="shared" si="155"/>
        <v>36.926847290640396</v>
      </c>
      <c r="K207" s="234">
        <f>+K208</f>
        <v>0</v>
      </c>
      <c r="L207" s="771">
        <f t="shared" si="144"/>
        <v>0</v>
      </c>
      <c r="M207" s="241">
        <f t="shared" si="161"/>
        <v>-9474849</v>
      </c>
      <c r="N207" s="3101"/>
      <c r="O207" s="218"/>
    </row>
    <row r="208" spans="1:15" s="293" customFormat="1" ht="12.75" customHeight="1" x14ac:dyDescent="0.2">
      <c r="A208" s="3132"/>
      <c r="B208" s="253" t="s">
        <v>12</v>
      </c>
      <c r="C208" s="3100" t="s">
        <v>34</v>
      </c>
      <c r="D208" s="277">
        <f t="shared" si="164"/>
        <v>15022000</v>
      </c>
      <c r="E208" s="900">
        <f t="shared" si="164"/>
        <v>2910028</v>
      </c>
      <c r="F208" s="842">
        <f>+F209</f>
        <v>2637123</v>
      </c>
      <c r="G208" s="842">
        <f t="shared" si="164"/>
        <v>9474849</v>
      </c>
      <c r="H208" s="842">
        <f t="shared" si="164"/>
        <v>0</v>
      </c>
      <c r="I208" s="277">
        <f>+I209</f>
        <v>5547151</v>
      </c>
      <c r="J208" s="26">
        <f t="shared" si="155"/>
        <v>36.926847290640396</v>
      </c>
      <c r="K208" s="278">
        <f>+K209</f>
        <v>0</v>
      </c>
      <c r="L208" s="834">
        <f t="shared" si="144"/>
        <v>0</v>
      </c>
      <c r="M208" s="778">
        <f t="shared" si="161"/>
        <v>-9474849</v>
      </c>
      <c r="N208" s="3101"/>
      <c r="O208" s="218"/>
    </row>
    <row r="209" spans="1:15" s="266" customFormat="1" ht="12.75" customHeight="1" thickBot="1" x14ac:dyDescent="0.25">
      <c r="A209" s="3133"/>
      <c r="B209" s="280" t="s">
        <v>14</v>
      </c>
      <c r="C209" s="3104"/>
      <c r="D209" s="262">
        <f>+E209+F209+G209+H209</f>
        <v>15022000</v>
      </c>
      <c r="E209" s="245">
        <v>2910028</v>
      </c>
      <c r="F209" s="843">
        <v>2637123</v>
      </c>
      <c r="G209" s="843">
        <v>9474849</v>
      </c>
      <c r="H209" s="843">
        <v>0</v>
      </c>
      <c r="I209" s="845">
        <f>E209+F209+K209</f>
        <v>5547151</v>
      </c>
      <c r="J209" s="801">
        <f t="shared" si="155"/>
        <v>36.926847290640396</v>
      </c>
      <c r="K209" s="843"/>
      <c r="L209" s="901">
        <f t="shared" si="144"/>
        <v>0</v>
      </c>
      <c r="M209" s="247">
        <f t="shared" si="161"/>
        <v>-9474849</v>
      </c>
      <c r="N209" s="3104"/>
      <c r="O209" s="218"/>
    </row>
    <row r="210" spans="1:15" ht="25.5" customHeight="1" x14ac:dyDescent="0.2">
      <c r="A210" s="3130" t="s">
        <v>54</v>
      </c>
      <c r="B210" s="766" t="s">
        <v>247</v>
      </c>
      <c r="C210" s="236" t="s">
        <v>166</v>
      </c>
      <c r="D210" s="237"/>
      <c r="E210" s="238"/>
      <c r="F210" s="238"/>
      <c r="G210" s="238"/>
      <c r="H210" s="239"/>
      <c r="I210" s="237"/>
      <c r="J210" s="238"/>
      <c r="K210" s="238"/>
      <c r="L210" s="240"/>
      <c r="M210" s="240"/>
      <c r="N210" s="3127" t="s">
        <v>37</v>
      </c>
      <c r="O210" s="218"/>
    </row>
    <row r="211" spans="1:15" ht="12.75" customHeight="1" x14ac:dyDescent="0.2">
      <c r="A211" s="3131"/>
      <c r="B211" s="846" t="s">
        <v>2</v>
      </c>
      <c r="C211" s="25"/>
      <c r="D211" s="233">
        <f t="shared" ref="D211:I211" si="165">+D212+D215</f>
        <v>10137325</v>
      </c>
      <c r="E211" s="234">
        <f t="shared" si="165"/>
        <v>9170615</v>
      </c>
      <c r="F211" s="234">
        <f t="shared" si="165"/>
        <v>966710</v>
      </c>
      <c r="G211" s="234">
        <f t="shared" si="165"/>
        <v>0</v>
      </c>
      <c r="H211" s="261">
        <f t="shared" si="165"/>
        <v>0</v>
      </c>
      <c r="I211" s="233">
        <f t="shared" si="165"/>
        <v>10137325</v>
      </c>
      <c r="J211" s="743">
        <f t="shared" si="155"/>
        <v>100</v>
      </c>
      <c r="K211" s="287">
        <f>+K212+K215</f>
        <v>0</v>
      </c>
      <c r="L211" s="824">
        <v>0</v>
      </c>
      <c r="M211" s="241">
        <f t="shared" ref="M211:M221" si="166">+K211-G211</f>
        <v>0</v>
      </c>
      <c r="N211" s="3187"/>
      <c r="O211" s="218"/>
    </row>
    <row r="212" spans="1:15" ht="12.75" customHeight="1" x14ac:dyDescent="0.2">
      <c r="A212" s="3131"/>
      <c r="B212" s="902" t="s">
        <v>17</v>
      </c>
      <c r="C212" s="3156" t="s">
        <v>38</v>
      </c>
      <c r="D212" s="881">
        <f>+D213+D214</f>
        <v>3903701</v>
      </c>
      <c r="E212" s="882">
        <f>+E213+E214</f>
        <v>2936991</v>
      </c>
      <c r="F212" s="882">
        <f>+F213+F214</f>
        <v>966710</v>
      </c>
      <c r="G212" s="882">
        <f>+G213+G214</f>
        <v>0</v>
      </c>
      <c r="H212" s="903">
        <f>+H213</f>
        <v>0</v>
      </c>
      <c r="I212" s="881">
        <f>+I213+I214</f>
        <v>3903701</v>
      </c>
      <c r="J212" s="883">
        <f t="shared" si="155"/>
        <v>100</v>
      </c>
      <c r="K212" s="904">
        <f>+K213+K214</f>
        <v>0</v>
      </c>
      <c r="L212" s="890">
        <v>0</v>
      </c>
      <c r="M212" s="778">
        <f t="shared" si="166"/>
        <v>0</v>
      </c>
      <c r="N212" s="3187"/>
      <c r="O212" s="218"/>
    </row>
    <row r="213" spans="1:15" ht="12.75" customHeight="1" x14ac:dyDescent="0.2">
      <c r="A213" s="3131"/>
      <c r="B213" s="243" t="s">
        <v>4</v>
      </c>
      <c r="C213" s="3101"/>
      <c r="D213" s="244">
        <f>++E213+F213+G213</f>
        <v>3081253</v>
      </c>
      <c r="E213" s="779">
        <f>43962+910061+1160520</f>
        <v>2114543</v>
      </c>
      <c r="F213" s="245">
        <v>966710</v>
      </c>
      <c r="G213" s="245">
        <v>0</v>
      </c>
      <c r="H213" s="269">
        <v>0</v>
      </c>
      <c r="I213" s="274">
        <f>E213+F213+K213</f>
        <v>3081253</v>
      </c>
      <c r="J213" s="780">
        <f t="shared" si="155"/>
        <v>100</v>
      </c>
      <c r="K213" s="260">
        <v>0</v>
      </c>
      <c r="L213" s="782">
        <v>0</v>
      </c>
      <c r="M213" s="247">
        <f t="shared" si="166"/>
        <v>0</v>
      </c>
      <c r="N213" s="3187"/>
      <c r="O213" s="218"/>
    </row>
    <row r="214" spans="1:15" ht="12.75" customHeight="1" x14ac:dyDescent="0.2">
      <c r="A214" s="3131"/>
      <c r="B214" s="290" t="s">
        <v>9</v>
      </c>
      <c r="C214" s="3101"/>
      <c r="D214" s="244">
        <f>++E214+F214+G214</f>
        <v>822448</v>
      </c>
      <c r="E214" s="245">
        <v>822448</v>
      </c>
      <c r="F214" s="260">
        <v>0</v>
      </c>
      <c r="G214" s="260">
        <v>0</v>
      </c>
      <c r="H214" s="269">
        <v>0</v>
      </c>
      <c r="I214" s="274">
        <f>E214+F214+K214</f>
        <v>822448</v>
      </c>
      <c r="J214" s="249">
        <f t="shared" si="155"/>
        <v>100</v>
      </c>
      <c r="K214" s="250">
        <v>0</v>
      </c>
      <c r="L214" s="251">
        <v>0</v>
      </c>
      <c r="M214" s="247">
        <f t="shared" si="166"/>
        <v>0</v>
      </c>
      <c r="N214" s="3187"/>
      <c r="O214" s="218"/>
    </row>
    <row r="215" spans="1:15" ht="12.75" customHeight="1" x14ac:dyDescent="0.2">
      <c r="A215" s="3131"/>
      <c r="B215" s="852" t="s">
        <v>12</v>
      </c>
      <c r="C215" s="3101"/>
      <c r="D215" s="254">
        <f t="shared" ref="D215:I215" si="167">+D216</f>
        <v>6233624</v>
      </c>
      <c r="E215" s="255">
        <f t="shared" si="167"/>
        <v>6233624</v>
      </c>
      <c r="F215" s="257">
        <f t="shared" si="167"/>
        <v>0</v>
      </c>
      <c r="G215" s="257">
        <f t="shared" si="167"/>
        <v>0</v>
      </c>
      <c r="H215" s="256">
        <f t="shared" si="167"/>
        <v>0</v>
      </c>
      <c r="I215" s="254">
        <f t="shared" si="167"/>
        <v>6233624</v>
      </c>
      <c r="J215" s="26">
        <f t="shared" si="155"/>
        <v>100</v>
      </c>
      <c r="K215" s="257">
        <f>+K216</f>
        <v>0</v>
      </c>
      <c r="L215" s="258">
        <v>0</v>
      </c>
      <c r="M215" s="778">
        <f t="shared" si="166"/>
        <v>0</v>
      </c>
      <c r="N215" s="3187"/>
      <c r="O215" s="218"/>
    </row>
    <row r="216" spans="1:15" ht="12.75" customHeight="1" x14ac:dyDescent="0.2">
      <c r="A216" s="3131"/>
      <c r="B216" s="243" t="s">
        <v>14</v>
      </c>
      <c r="C216" s="3101"/>
      <c r="D216" s="244">
        <f>+E216+F216+G216</f>
        <v>6233624</v>
      </c>
      <c r="E216" s="779">
        <f>131887+2682842+3418895</f>
        <v>6233624</v>
      </c>
      <c r="F216" s="260">
        <v>0</v>
      </c>
      <c r="G216" s="260">
        <v>0</v>
      </c>
      <c r="H216" s="269">
        <v>0</v>
      </c>
      <c r="I216" s="274">
        <f>E216+F216+K216</f>
        <v>6233624</v>
      </c>
      <c r="J216" s="780">
        <f t="shared" si="155"/>
        <v>100</v>
      </c>
      <c r="K216" s="250">
        <v>0</v>
      </c>
      <c r="L216" s="782">
        <v>0</v>
      </c>
      <c r="M216" s="247">
        <f t="shared" si="166"/>
        <v>0</v>
      </c>
      <c r="N216" s="3187"/>
      <c r="O216" s="218"/>
    </row>
    <row r="217" spans="1:15" s="266" customFormat="1" ht="12.75" customHeight="1" x14ac:dyDescent="0.2">
      <c r="A217" s="3132"/>
      <c r="B217" s="846" t="s">
        <v>16</v>
      </c>
      <c r="C217" s="25"/>
      <c r="D217" s="770">
        <f t="shared" ref="D217:I217" si="168">+D220+D218</f>
        <v>7056072</v>
      </c>
      <c r="E217" s="241">
        <f t="shared" ref="E217" si="169">+E220+E218</f>
        <v>7056072</v>
      </c>
      <c r="F217" s="241">
        <f t="shared" si="168"/>
        <v>0</v>
      </c>
      <c r="G217" s="824">
        <f t="shared" si="168"/>
        <v>0</v>
      </c>
      <c r="H217" s="261">
        <f t="shared" si="168"/>
        <v>0</v>
      </c>
      <c r="I217" s="770">
        <f t="shared" si="168"/>
        <v>7056072</v>
      </c>
      <c r="J217" s="743">
        <f t="shared" si="155"/>
        <v>100</v>
      </c>
      <c r="K217" s="824">
        <f>+K220+K218</f>
        <v>0</v>
      </c>
      <c r="L217" s="824">
        <v>0</v>
      </c>
      <c r="M217" s="241">
        <f t="shared" si="166"/>
        <v>0</v>
      </c>
      <c r="N217" s="3101"/>
      <c r="O217" s="218"/>
    </row>
    <row r="218" spans="1:15" s="266" customFormat="1" ht="12.75" customHeight="1" x14ac:dyDescent="0.2">
      <c r="A218" s="3132"/>
      <c r="B218" s="902" t="s">
        <v>17</v>
      </c>
      <c r="C218" s="3155" t="s">
        <v>51</v>
      </c>
      <c r="D218" s="886">
        <f>+D219</f>
        <v>822448</v>
      </c>
      <c r="E218" s="887">
        <f>+E219</f>
        <v>822448</v>
      </c>
      <c r="F218" s="888">
        <f>+F219</f>
        <v>0</v>
      </c>
      <c r="G218" s="888">
        <v>0</v>
      </c>
      <c r="H218" s="889">
        <f>+H219</f>
        <v>0</v>
      </c>
      <c r="I218" s="886">
        <f>+I219</f>
        <v>822448</v>
      </c>
      <c r="J218" s="883">
        <f t="shared" si="155"/>
        <v>100</v>
      </c>
      <c r="K218" s="905">
        <f>+K219</f>
        <v>0</v>
      </c>
      <c r="L218" s="890">
        <v>0</v>
      </c>
      <c r="M218" s="778">
        <f t="shared" si="166"/>
        <v>0</v>
      </c>
      <c r="N218" s="3101"/>
      <c r="O218" s="218"/>
    </row>
    <row r="219" spans="1:15" s="266" customFormat="1" ht="12.75" customHeight="1" x14ac:dyDescent="0.2">
      <c r="A219" s="3132"/>
      <c r="B219" s="290" t="s">
        <v>9</v>
      </c>
      <c r="C219" s="3155"/>
      <c r="D219" s="244">
        <f>++E219+F219+G219</f>
        <v>822448</v>
      </c>
      <c r="E219" s="906">
        <v>822448</v>
      </c>
      <c r="F219" s="907">
        <v>0</v>
      </c>
      <c r="G219" s="907">
        <v>0</v>
      </c>
      <c r="H219" s="908">
        <v>0</v>
      </c>
      <c r="I219" s="274">
        <f>E219+F219+K219</f>
        <v>822448</v>
      </c>
      <c r="J219" s="780">
        <f t="shared" si="155"/>
        <v>100</v>
      </c>
      <c r="K219" s="907">
        <v>0</v>
      </c>
      <c r="L219" s="782">
        <v>0</v>
      </c>
      <c r="M219" s="247">
        <f t="shared" si="166"/>
        <v>0</v>
      </c>
      <c r="N219" s="3101"/>
      <c r="O219" s="218"/>
    </row>
    <row r="220" spans="1:15" s="293" customFormat="1" ht="12.75" customHeight="1" x14ac:dyDescent="0.2">
      <c r="A220" s="3132"/>
      <c r="B220" s="852" t="s">
        <v>12</v>
      </c>
      <c r="C220" s="3155"/>
      <c r="D220" s="772">
        <f t="shared" ref="D220:H220" si="170">D221</f>
        <v>6233624</v>
      </c>
      <c r="E220" s="278">
        <f t="shared" si="170"/>
        <v>6233624</v>
      </c>
      <c r="F220" s="278">
        <f t="shared" si="170"/>
        <v>0</v>
      </c>
      <c r="G220" s="284">
        <f t="shared" si="170"/>
        <v>0</v>
      </c>
      <c r="H220" s="282">
        <f t="shared" si="170"/>
        <v>0</v>
      </c>
      <c r="I220" s="274">
        <f>+I221</f>
        <v>6233624</v>
      </c>
      <c r="J220" s="26">
        <f t="shared" si="155"/>
        <v>100</v>
      </c>
      <c r="K220" s="289">
        <f>+K221</f>
        <v>0</v>
      </c>
      <c r="L220" s="258">
        <v>0</v>
      </c>
      <c r="M220" s="247">
        <f t="shared" si="166"/>
        <v>0</v>
      </c>
      <c r="N220" s="3101"/>
      <c r="O220" s="218"/>
    </row>
    <row r="221" spans="1:15" s="266" customFormat="1" ht="12.75" customHeight="1" thickBot="1" x14ac:dyDescent="0.25">
      <c r="A221" s="3133"/>
      <c r="B221" s="280" t="s">
        <v>14</v>
      </c>
      <c r="C221" s="3206"/>
      <c r="D221" s="262">
        <f>+E221+F221+G221+H221</f>
        <v>6233624</v>
      </c>
      <c r="E221" s="843">
        <f>2714556+2903785+615283</f>
        <v>6233624</v>
      </c>
      <c r="F221" s="843">
        <v>0</v>
      </c>
      <c r="G221" s="909">
        <v>0</v>
      </c>
      <c r="H221" s="910">
        <v>0</v>
      </c>
      <c r="I221" s="845">
        <f>E221+F221+K221</f>
        <v>6233624</v>
      </c>
      <c r="J221" s="801">
        <f t="shared" si="155"/>
        <v>100</v>
      </c>
      <c r="K221" s="818">
        <v>0</v>
      </c>
      <c r="L221" s="876">
        <v>0</v>
      </c>
      <c r="M221" s="263">
        <f t="shared" si="166"/>
        <v>0</v>
      </c>
      <c r="N221" s="3104"/>
      <c r="O221" s="218"/>
    </row>
    <row r="222" spans="1:15" ht="27" customHeight="1" x14ac:dyDescent="0.2">
      <c r="A222" s="3190" t="s">
        <v>55</v>
      </c>
      <c r="B222" s="911" t="s">
        <v>59</v>
      </c>
      <c r="C222" s="857" t="s">
        <v>166</v>
      </c>
      <c r="D222" s="858"/>
      <c r="E222" s="859"/>
      <c r="F222" s="859"/>
      <c r="G222" s="859"/>
      <c r="H222" s="860"/>
      <c r="I222" s="858"/>
      <c r="J222" s="859"/>
      <c r="K222" s="859"/>
      <c r="L222" s="861"/>
      <c r="M222" s="861"/>
      <c r="N222" s="3191" t="s">
        <v>37</v>
      </c>
      <c r="O222" s="218"/>
    </row>
    <row r="223" spans="1:15" ht="13.5" customHeight="1" x14ac:dyDescent="0.2">
      <c r="A223" s="3131"/>
      <c r="B223" s="220" t="s">
        <v>2</v>
      </c>
      <c r="C223" s="25"/>
      <c r="D223" s="807">
        <f t="shared" ref="D223:I223" si="171">+D224+D226</f>
        <v>18700000</v>
      </c>
      <c r="E223" s="808">
        <f t="shared" ref="E223" si="172">+E224+E226</f>
        <v>367152</v>
      </c>
      <c r="F223" s="808">
        <f>+F224+F226</f>
        <v>12400000</v>
      </c>
      <c r="G223" s="808">
        <f t="shared" si="171"/>
        <v>5932848</v>
      </c>
      <c r="H223" s="865">
        <f t="shared" si="171"/>
        <v>0</v>
      </c>
      <c r="I223" s="807">
        <f t="shared" si="171"/>
        <v>13249990</v>
      </c>
      <c r="J223" s="267">
        <f t="shared" si="155"/>
        <v>70.855561497326207</v>
      </c>
      <c r="K223" s="808">
        <f>+K224+K226</f>
        <v>503074</v>
      </c>
      <c r="L223" s="271">
        <f t="shared" si="144"/>
        <v>8.4794688823984714</v>
      </c>
      <c r="M223" s="241">
        <f t="shared" ref="M223:M230" si="173">+K223-G223</f>
        <v>-5429774</v>
      </c>
      <c r="N223" s="3187"/>
      <c r="O223" s="218"/>
    </row>
    <row r="224" spans="1:15" ht="12.75" customHeight="1" x14ac:dyDescent="0.2">
      <c r="A224" s="3131"/>
      <c r="B224" s="242" t="s">
        <v>17</v>
      </c>
      <c r="C224" s="3100" t="s">
        <v>38</v>
      </c>
      <c r="D224" s="812">
        <f t="shared" ref="D224:I224" si="174">+D225</f>
        <v>6591176</v>
      </c>
      <c r="E224" s="813">
        <f t="shared" si="174"/>
        <v>125533</v>
      </c>
      <c r="F224" s="813">
        <f>+F225</f>
        <v>4250539</v>
      </c>
      <c r="G224" s="813">
        <f t="shared" si="174"/>
        <v>2215104</v>
      </c>
      <c r="H224" s="866">
        <f t="shared" si="174"/>
        <v>0</v>
      </c>
      <c r="I224" s="812">
        <f t="shared" si="174"/>
        <v>4548669</v>
      </c>
      <c r="J224" s="144">
        <f t="shared" si="155"/>
        <v>69.011493548344021</v>
      </c>
      <c r="K224" s="813">
        <f>+K225</f>
        <v>178340</v>
      </c>
      <c r="L224" s="294">
        <f t="shared" si="144"/>
        <v>8.0510892490826613</v>
      </c>
      <c r="M224" s="778">
        <f t="shared" si="173"/>
        <v>-2036764</v>
      </c>
      <c r="N224" s="3187"/>
      <c r="O224" s="218"/>
    </row>
    <row r="225" spans="1:15" ht="12.75" customHeight="1" x14ac:dyDescent="0.2">
      <c r="A225" s="3131"/>
      <c r="B225" s="912" t="s">
        <v>4</v>
      </c>
      <c r="C225" s="3101"/>
      <c r="D225" s="244">
        <f>++E225+F225+G225+H225</f>
        <v>6591176</v>
      </c>
      <c r="E225" s="245">
        <f>32276+93257</f>
        <v>125533</v>
      </c>
      <c r="F225" s="245">
        <v>4250539</v>
      </c>
      <c r="G225" s="245">
        <v>2215104</v>
      </c>
      <c r="H225" s="913">
        <v>0</v>
      </c>
      <c r="I225" s="274">
        <f>E225+F225+K225-5743</f>
        <v>4548669</v>
      </c>
      <c r="J225" s="249">
        <f t="shared" si="155"/>
        <v>69.011493548344021</v>
      </c>
      <c r="K225" s="779">
        <v>178340</v>
      </c>
      <c r="L225" s="276">
        <f t="shared" si="144"/>
        <v>8.0510892490826613</v>
      </c>
      <c r="M225" s="247">
        <f t="shared" si="173"/>
        <v>-2036764</v>
      </c>
      <c r="N225" s="3187"/>
      <c r="O225" s="218"/>
    </row>
    <row r="226" spans="1:15" ht="12.75" customHeight="1" x14ac:dyDescent="0.2">
      <c r="A226" s="3131"/>
      <c r="B226" s="253" t="s">
        <v>12</v>
      </c>
      <c r="C226" s="3101"/>
      <c r="D226" s="254">
        <f t="shared" ref="D226:I226" si="175">+D227</f>
        <v>12108824</v>
      </c>
      <c r="E226" s="255">
        <f t="shared" si="175"/>
        <v>241619</v>
      </c>
      <c r="F226" s="255">
        <f>+F227</f>
        <v>8149461</v>
      </c>
      <c r="G226" s="255">
        <f t="shared" si="175"/>
        <v>3717744</v>
      </c>
      <c r="H226" s="286">
        <f t="shared" si="175"/>
        <v>0</v>
      </c>
      <c r="I226" s="254">
        <f t="shared" si="175"/>
        <v>8701321</v>
      </c>
      <c r="J226" s="26">
        <f t="shared" si="155"/>
        <v>71.859339932597905</v>
      </c>
      <c r="K226" s="255">
        <f>+K227</f>
        <v>324734</v>
      </c>
      <c r="L226" s="834">
        <f t="shared" si="144"/>
        <v>8.7347057785581796</v>
      </c>
      <c r="M226" s="778">
        <f t="shared" si="173"/>
        <v>-3393010</v>
      </c>
      <c r="N226" s="3187"/>
      <c r="O226" s="218"/>
    </row>
    <row r="227" spans="1:15" ht="12.75" customHeight="1" x14ac:dyDescent="0.2">
      <c r="A227" s="3131"/>
      <c r="B227" s="912" t="s">
        <v>14</v>
      </c>
      <c r="C227" s="3101"/>
      <c r="D227" s="244">
        <f>++E227+F227+G227+H227</f>
        <v>12108824</v>
      </c>
      <c r="E227" s="245">
        <f>62124+179495</f>
        <v>241619</v>
      </c>
      <c r="F227" s="245">
        <v>8149461</v>
      </c>
      <c r="G227" s="245">
        <v>3717744</v>
      </c>
      <c r="H227" s="285">
        <v>0</v>
      </c>
      <c r="I227" s="274">
        <f>E227+F227+K227-14493</f>
        <v>8701321</v>
      </c>
      <c r="J227" s="249">
        <f t="shared" si="155"/>
        <v>71.859339932597905</v>
      </c>
      <c r="K227" s="779">
        <v>324734</v>
      </c>
      <c r="L227" s="276">
        <f t="shared" si="144"/>
        <v>8.7347057785581796</v>
      </c>
      <c r="M227" s="247">
        <f t="shared" si="173"/>
        <v>-3393010</v>
      </c>
      <c r="N227" s="3187"/>
      <c r="O227" s="218"/>
    </row>
    <row r="228" spans="1:15" s="266" customFormat="1" ht="12.75" customHeight="1" x14ac:dyDescent="0.2">
      <c r="A228" s="3132"/>
      <c r="B228" s="220" t="s">
        <v>16</v>
      </c>
      <c r="C228" s="25"/>
      <c r="D228" s="233">
        <f t="shared" ref="D228:I229" si="176">+D229</f>
        <v>12108824</v>
      </c>
      <c r="E228" s="287">
        <f t="shared" si="176"/>
        <v>0</v>
      </c>
      <c r="F228" s="234">
        <f>+F229</f>
        <v>6854075</v>
      </c>
      <c r="G228" s="234">
        <f t="shared" si="176"/>
        <v>5254749</v>
      </c>
      <c r="H228" s="867">
        <f t="shared" si="176"/>
        <v>0</v>
      </c>
      <c r="I228" s="807">
        <f t="shared" ref="I228" si="177">+I229+I231</f>
        <v>6854075</v>
      </c>
      <c r="J228" s="267">
        <f t="shared" si="155"/>
        <v>56.603969138538965</v>
      </c>
      <c r="K228" s="808">
        <f>+K229</f>
        <v>0</v>
      </c>
      <c r="L228" s="271">
        <f t="shared" si="144"/>
        <v>0</v>
      </c>
      <c r="M228" s="241">
        <f t="shared" si="173"/>
        <v>-5254749</v>
      </c>
      <c r="N228" s="3101"/>
      <c r="O228" s="218"/>
    </row>
    <row r="229" spans="1:15" s="293" customFormat="1" ht="12.75" customHeight="1" x14ac:dyDescent="0.2">
      <c r="A229" s="3132"/>
      <c r="B229" s="253" t="s">
        <v>12</v>
      </c>
      <c r="C229" s="3100" t="s">
        <v>34</v>
      </c>
      <c r="D229" s="277">
        <f t="shared" si="176"/>
        <v>12108824</v>
      </c>
      <c r="E229" s="284">
        <f t="shared" si="176"/>
        <v>0</v>
      </c>
      <c r="F229" s="278">
        <f>+F230</f>
        <v>6854075</v>
      </c>
      <c r="G229" s="278">
        <f t="shared" si="176"/>
        <v>5254749</v>
      </c>
      <c r="H229" s="873">
        <f t="shared" si="176"/>
        <v>0</v>
      </c>
      <c r="I229" s="812">
        <f t="shared" si="176"/>
        <v>6854075</v>
      </c>
      <c r="J229" s="144">
        <f t="shared" si="155"/>
        <v>56.603969138538965</v>
      </c>
      <c r="K229" s="813">
        <f>+K230</f>
        <v>0</v>
      </c>
      <c r="L229" s="294">
        <f t="shared" si="144"/>
        <v>0</v>
      </c>
      <c r="M229" s="778">
        <f t="shared" si="173"/>
        <v>-5254749</v>
      </c>
      <c r="N229" s="3101"/>
      <c r="O229" s="218"/>
    </row>
    <row r="230" spans="1:15" s="293" customFormat="1" ht="12.75" customHeight="1" thickBot="1" x14ac:dyDescent="0.25">
      <c r="A230" s="3133"/>
      <c r="B230" s="914" t="s">
        <v>14</v>
      </c>
      <c r="C230" s="3104"/>
      <c r="D230" s="262">
        <f>+E230+F230+G230+H230</f>
        <v>12108824</v>
      </c>
      <c r="E230" s="915">
        <v>0</v>
      </c>
      <c r="F230" s="916">
        <v>6854075</v>
      </c>
      <c r="G230" s="916">
        <v>5254749</v>
      </c>
      <c r="H230" s="917">
        <v>0</v>
      </c>
      <c r="I230" s="845">
        <f>E230+F230+K230</f>
        <v>6854075</v>
      </c>
      <c r="J230" s="270">
        <f t="shared" si="155"/>
        <v>56.603969138538965</v>
      </c>
      <c r="K230" s="263">
        <v>0</v>
      </c>
      <c r="L230" s="273">
        <f t="shared" ref="L230:L268" si="178">K230/G230*100</f>
        <v>0</v>
      </c>
      <c r="M230" s="247">
        <f t="shared" si="173"/>
        <v>-5254749</v>
      </c>
      <c r="N230" s="3104"/>
      <c r="O230" s="218"/>
    </row>
    <row r="231" spans="1:15" ht="28.5" customHeight="1" x14ac:dyDescent="0.2">
      <c r="A231" s="3130" t="s">
        <v>317</v>
      </c>
      <c r="B231" s="295" t="s">
        <v>248</v>
      </c>
      <c r="C231" s="236" t="s">
        <v>166</v>
      </c>
      <c r="D231" s="291"/>
      <c r="E231" s="292"/>
      <c r="F231" s="292"/>
      <c r="G231" s="292"/>
      <c r="H231" s="878"/>
      <c r="I231" s="291"/>
      <c r="J231" s="292"/>
      <c r="K231" s="292"/>
      <c r="L231" s="879"/>
      <c r="M231" s="879"/>
      <c r="N231" s="3127" t="s">
        <v>37</v>
      </c>
      <c r="O231" s="218"/>
    </row>
    <row r="232" spans="1:15" ht="13.5" customHeight="1" x14ac:dyDescent="0.2">
      <c r="A232" s="3131"/>
      <c r="B232" s="918" t="s">
        <v>2</v>
      </c>
      <c r="C232" s="919"/>
      <c r="D232" s="920">
        <f t="shared" ref="D232:I232" si="179">+D233+D236</f>
        <v>21603075</v>
      </c>
      <c r="E232" s="921">
        <f t="shared" si="179"/>
        <v>21203075</v>
      </c>
      <c r="F232" s="921">
        <f>+F233+F236</f>
        <v>50000</v>
      </c>
      <c r="G232" s="921">
        <f t="shared" si="179"/>
        <v>350000</v>
      </c>
      <c r="H232" s="921">
        <f t="shared" si="179"/>
        <v>0</v>
      </c>
      <c r="I232" s="920">
        <f t="shared" si="179"/>
        <v>21203332</v>
      </c>
      <c r="J232" s="922">
        <f t="shared" si="155"/>
        <v>98.149601387765401</v>
      </c>
      <c r="K232" s="923">
        <f>+K233+K236</f>
        <v>0</v>
      </c>
      <c r="L232" s="924">
        <f t="shared" si="178"/>
        <v>0</v>
      </c>
      <c r="M232" s="241">
        <f t="shared" ref="M232:M242" si="180">+K232-G232</f>
        <v>-350000</v>
      </c>
      <c r="N232" s="3187"/>
      <c r="O232" s="218"/>
    </row>
    <row r="233" spans="1:15" ht="12.75" customHeight="1" x14ac:dyDescent="0.2">
      <c r="A233" s="3131"/>
      <c r="B233" s="242" t="s">
        <v>17</v>
      </c>
      <c r="C233" s="3100" t="s">
        <v>38</v>
      </c>
      <c r="D233" s="774">
        <f t="shared" ref="D233:I233" si="181">+D234+D235</f>
        <v>9142178</v>
      </c>
      <c r="E233" s="776">
        <f t="shared" si="181"/>
        <v>8742178</v>
      </c>
      <c r="F233" s="776">
        <f>+F234+F235</f>
        <v>50000</v>
      </c>
      <c r="G233" s="776">
        <f t="shared" si="181"/>
        <v>350000</v>
      </c>
      <c r="H233" s="776">
        <f t="shared" si="181"/>
        <v>0</v>
      </c>
      <c r="I233" s="772">
        <f t="shared" si="181"/>
        <v>8742435</v>
      </c>
      <c r="J233" s="26">
        <f t="shared" si="155"/>
        <v>95.627486141704964</v>
      </c>
      <c r="K233" s="813">
        <f>+K234+K235</f>
        <v>0</v>
      </c>
      <c r="L233" s="834">
        <f t="shared" si="178"/>
        <v>0</v>
      </c>
      <c r="M233" s="778">
        <f t="shared" si="180"/>
        <v>-350000</v>
      </c>
      <c r="N233" s="3187"/>
      <c r="O233" s="218"/>
    </row>
    <row r="234" spans="1:15" ht="12.75" customHeight="1" x14ac:dyDescent="0.2">
      <c r="A234" s="3131"/>
      <c r="B234" s="243" t="s">
        <v>4</v>
      </c>
      <c r="C234" s="3101"/>
      <c r="D234" s="244">
        <f>+E234+F234+G234+H234</f>
        <v>1652314</v>
      </c>
      <c r="E234" s="245">
        <v>1252314</v>
      </c>
      <c r="F234" s="245">
        <v>50000</v>
      </c>
      <c r="G234" s="245">
        <v>350000</v>
      </c>
      <c r="H234" s="245">
        <v>0</v>
      </c>
      <c r="I234" s="274">
        <f>E234+F234+K234-49743</f>
        <v>1252571</v>
      </c>
      <c r="J234" s="780">
        <f t="shared" si="155"/>
        <v>75.807080252300722</v>
      </c>
      <c r="K234" s="779">
        <v>0</v>
      </c>
      <c r="L234" s="781">
        <f t="shared" si="178"/>
        <v>0</v>
      </c>
      <c r="M234" s="247">
        <f t="shared" si="180"/>
        <v>-350000</v>
      </c>
      <c r="N234" s="3187"/>
      <c r="O234" s="218"/>
    </row>
    <row r="235" spans="1:15" ht="12.75" customHeight="1" x14ac:dyDescent="0.2">
      <c r="A235" s="3131"/>
      <c r="B235" s="290" t="s">
        <v>9</v>
      </c>
      <c r="C235" s="3101"/>
      <c r="D235" s="244">
        <f>+E235+F235+G235+H235</f>
        <v>7489864</v>
      </c>
      <c r="E235" s="245">
        <f>2000000+5489864</f>
        <v>7489864</v>
      </c>
      <c r="F235" s="245">
        <v>0</v>
      </c>
      <c r="G235" s="260">
        <v>0</v>
      </c>
      <c r="H235" s="269">
        <v>0</v>
      </c>
      <c r="I235" s="274">
        <f>E235+F235+K235</f>
        <v>7489864</v>
      </c>
      <c r="J235" s="249">
        <f t="shared" si="155"/>
        <v>100</v>
      </c>
      <c r="K235" s="260">
        <v>0</v>
      </c>
      <c r="L235" s="251">
        <v>0</v>
      </c>
      <c r="M235" s="247">
        <f t="shared" si="180"/>
        <v>0</v>
      </c>
      <c r="N235" s="3187"/>
      <c r="O235" s="218"/>
    </row>
    <row r="236" spans="1:15" ht="12.75" customHeight="1" x14ac:dyDescent="0.2">
      <c r="A236" s="3131"/>
      <c r="B236" s="253" t="s">
        <v>12</v>
      </c>
      <c r="C236" s="3101"/>
      <c r="D236" s="254">
        <f t="shared" ref="D236:I236" si="182">+D237</f>
        <v>12460897</v>
      </c>
      <c r="E236" s="255">
        <f t="shared" si="182"/>
        <v>12460897</v>
      </c>
      <c r="F236" s="255">
        <f>+F237</f>
        <v>0</v>
      </c>
      <c r="G236" s="257">
        <f t="shared" si="182"/>
        <v>0</v>
      </c>
      <c r="H236" s="256">
        <f t="shared" si="182"/>
        <v>0</v>
      </c>
      <c r="I236" s="254">
        <f t="shared" si="182"/>
        <v>12460897</v>
      </c>
      <c r="J236" s="26">
        <f t="shared" si="155"/>
        <v>100</v>
      </c>
      <c r="K236" s="257">
        <f>+K237</f>
        <v>0</v>
      </c>
      <c r="L236" s="258">
        <v>0</v>
      </c>
      <c r="M236" s="778">
        <f t="shared" si="180"/>
        <v>0</v>
      </c>
      <c r="N236" s="3187"/>
      <c r="O236" s="218"/>
    </row>
    <row r="237" spans="1:15" ht="12.75" customHeight="1" x14ac:dyDescent="0.2">
      <c r="A237" s="3131"/>
      <c r="B237" s="243" t="s">
        <v>14</v>
      </c>
      <c r="C237" s="3101"/>
      <c r="D237" s="244">
        <f>++E237+F237+G237+H237</f>
        <v>12460897</v>
      </c>
      <c r="E237" s="779">
        <f>41480+201799+3853415+8364203</f>
        <v>12460897</v>
      </c>
      <c r="F237" s="245">
        <v>0</v>
      </c>
      <c r="G237" s="260">
        <v>0</v>
      </c>
      <c r="H237" s="815">
        <v>0</v>
      </c>
      <c r="I237" s="274">
        <f>E237+F237+K237</f>
        <v>12460897</v>
      </c>
      <c r="J237" s="780">
        <f t="shared" si="155"/>
        <v>100</v>
      </c>
      <c r="K237" s="260">
        <v>0</v>
      </c>
      <c r="L237" s="782">
        <v>0</v>
      </c>
      <c r="M237" s="247">
        <f t="shared" si="180"/>
        <v>0</v>
      </c>
      <c r="N237" s="3187"/>
      <c r="O237" s="218"/>
    </row>
    <row r="238" spans="1:15" s="266" customFormat="1" ht="12.75" customHeight="1" x14ac:dyDescent="0.2">
      <c r="A238" s="3132"/>
      <c r="B238" s="220" t="s">
        <v>16</v>
      </c>
      <c r="C238" s="25"/>
      <c r="D238" s="770">
        <f t="shared" ref="D238:I238" si="183">+D241+D239</f>
        <v>19950761</v>
      </c>
      <c r="E238" s="241">
        <f t="shared" ref="E238" si="184">+E241+E239</f>
        <v>17067686</v>
      </c>
      <c r="F238" s="241">
        <f>+F241+F239</f>
        <v>2883075</v>
      </c>
      <c r="G238" s="241">
        <f t="shared" si="183"/>
        <v>0</v>
      </c>
      <c r="H238" s="261">
        <f t="shared" si="183"/>
        <v>0</v>
      </c>
      <c r="I238" s="770">
        <f t="shared" si="183"/>
        <v>19950761</v>
      </c>
      <c r="J238" s="743">
        <f t="shared" si="155"/>
        <v>100</v>
      </c>
      <c r="K238" s="241">
        <f>+K241+K239</f>
        <v>0</v>
      </c>
      <c r="L238" s="824">
        <v>0</v>
      </c>
      <c r="M238" s="241">
        <f t="shared" si="180"/>
        <v>0</v>
      </c>
      <c r="N238" s="3101"/>
      <c r="O238" s="218"/>
    </row>
    <row r="239" spans="1:15" s="266" customFormat="1" ht="12.75" customHeight="1" x14ac:dyDescent="0.2">
      <c r="A239" s="3132"/>
      <c r="B239" s="880" t="s">
        <v>17</v>
      </c>
      <c r="C239" s="3155" t="s">
        <v>51</v>
      </c>
      <c r="D239" s="886">
        <f t="shared" ref="D239:I239" si="185">+D240</f>
        <v>7489864</v>
      </c>
      <c r="E239" s="887">
        <f t="shared" si="185"/>
        <v>5500000</v>
      </c>
      <c r="F239" s="887">
        <f>+F240</f>
        <v>1989864</v>
      </c>
      <c r="G239" s="925">
        <f t="shared" si="185"/>
        <v>0</v>
      </c>
      <c r="H239" s="889">
        <f t="shared" si="185"/>
        <v>0</v>
      </c>
      <c r="I239" s="886">
        <f t="shared" si="185"/>
        <v>7489864</v>
      </c>
      <c r="J239" s="883">
        <f t="shared" si="155"/>
        <v>100</v>
      </c>
      <c r="K239" s="887">
        <f>+K240</f>
        <v>0</v>
      </c>
      <c r="L239" s="890">
        <v>0</v>
      </c>
      <c r="M239" s="778">
        <f t="shared" si="180"/>
        <v>0</v>
      </c>
      <c r="N239" s="3101"/>
      <c r="O239" s="218"/>
    </row>
    <row r="240" spans="1:15" s="266" customFormat="1" ht="12.75" customHeight="1" x14ac:dyDescent="0.2">
      <c r="A240" s="3132"/>
      <c r="B240" s="290" t="s">
        <v>9</v>
      </c>
      <c r="C240" s="3155"/>
      <c r="D240" s="244">
        <f>+E240+F240+G240+H240</f>
        <v>7489864</v>
      </c>
      <c r="E240" s="906">
        <f>2000000+3500000</f>
        <v>5500000</v>
      </c>
      <c r="F240" s="906">
        <v>1989864</v>
      </c>
      <c r="G240" s="906">
        <v>0</v>
      </c>
      <c r="H240" s="908">
        <v>0</v>
      </c>
      <c r="I240" s="274">
        <f>E240+F240+K240</f>
        <v>7489864</v>
      </c>
      <c r="J240" s="780">
        <f t="shared" si="155"/>
        <v>100</v>
      </c>
      <c r="K240" s="871">
        <v>0</v>
      </c>
      <c r="L240" s="782">
        <v>0</v>
      </c>
      <c r="M240" s="247">
        <f t="shared" si="180"/>
        <v>0</v>
      </c>
      <c r="N240" s="3101"/>
      <c r="O240" s="218"/>
    </row>
    <row r="241" spans="1:15" s="293" customFormat="1" ht="12.75" customHeight="1" x14ac:dyDescent="0.2">
      <c r="A241" s="3132"/>
      <c r="B241" s="253" t="s">
        <v>12</v>
      </c>
      <c r="C241" s="3155"/>
      <c r="D241" s="772">
        <f t="shared" ref="D241:I241" si="186">+D242</f>
        <v>12460897</v>
      </c>
      <c r="E241" s="842">
        <f t="shared" si="186"/>
        <v>11567686</v>
      </c>
      <c r="F241" s="842">
        <f t="shared" si="186"/>
        <v>893211</v>
      </c>
      <c r="G241" s="842">
        <f t="shared" si="186"/>
        <v>0</v>
      </c>
      <c r="H241" s="279">
        <f t="shared" si="186"/>
        <v>0</v>
      </c>
      <c r="I241" s="277">
        <f t="shared" si="186"/>
        <v>12460897</v>
      </c>
      <c r="J241" s="26">
        <f t="shared" si="155"/>
        <v>100</v>
      </c>
      <c r="K241" s="278">
        <f>+K242</f>
        <v>0</v>
      </c>
      <c r="L241" s="258">
        <v>0</v>
      </c>
      <c r="M241" s="778">
        <f t="shared" si="180"/>
        <v>0</v>
      </c>
      <c r="N241" s="3101"/>
      <c r="O241" s="218"/>
    </row>
    <row r="242" spans="1:15" s="266" customFormat="1" ht="12.75" customHeight="1" thickBot="1" x14ac:dyDescent="0.25">
      <c r="A242" s="3181"/>
      <c r="B242" s="296" t="s">
        <v>14</v>
      </c>
      <c r="C242" s="3155"/>
      <c r="D242" s="893">
        <f>+E242+F242+G242+H242</f>
        <v>12460897</v>
      </c>
      <c r="E242" s="297">
        <v>11567686</v>
      </c>
      <c r="F242" s="297">
        <v>893211</v>
      </c>
      <c r="G242" s="297">
        <v>0</v>
      </c>
      <c r="H242" s="298">
        <v>0</v>
      </c>
      <c r="I242" s="896">
        <f>E242+F242+K242</f>
        <v>12460897</v>
      </c>
      <c r="J242" s="897">
        <f t="shared" si="155"/>
        <v>100</v>
      </c>
      <c r="K242" s="297">
        <v>0</v>
      </c>
      <c r="L242" s="898">
        <v>0</v>
      </c>
      <c r="M242" s="247">
        <f t="shared" si="180"/>
        <v>0</v>
      </c>
      <c r="N242" s="3186"/>
      <c r="O242" s="218"/>
    </row>
    <row r="243" spans="1:15" ht="26.25" customHeight="1" x14ac:dyDescent="0.2">
      <c r="A243" s="3130" t="s">
        <v>57</v>
      </c>
      <c r="B243" s="831" t="s">
        <v>62</v>
      </c>
      <c r="C243" s="236" t="s">
        <v>166</v>
      </c>
      <c r="D243" s="291"/>
      <c r="E243" s="292"/>
      <c r="F243" s="292"/>
      <c r="G243" s="292"/>
      <c r="H243" s="878"/>
      <c r="I243" s="291"/>
      <c r="J243" s="238"/>
      <c r="K243" s="292"/>
      <c r="L243" s="240"/>
      <c r="M243" s="879"/>
      <c r="N243" s="3127" t="s">
        <v>37</v>
      </c>
      <c r="O243" s="218"/>
    </row>
    <row r="244" spans="1:15" ht="12.75" customHeight="1" x14ac:dyDescent="0.2">
      <c r="A244" s="3131"/>
      <c r="B244" s="220" t="s">
        <v>2</v>
      </c>
      <c r="C244" s="25"/>
      <c r="D244" s="807">
        <f t="shared" ref="D244" si="187">+D245+D247</f>
        <v>31820861</v>
      </c>
      <c r="E244" s="808">
        <f>+E245+E247</f>
        <v>8632470</v>
      </c>
      <c r="F244" s="808">
        <f>+F245+F247</f>
        <v>12000000</v>
      </c>
      <c r="G244" s="808">
        <f>+G245+G247</f>
        <v>11188391</v>
      </c>
      <c r="H244" s="808">
        <f>+H245+H247</f>
        <v>0</v>
      </c>
      <c r="I244" s="807">
        <f>+I245+I247</f>
        <v>20465644</v>
      </c>
      <c r="J244" s="267">
        <f t="shared" si="155"/>
        <v>64.315179906665634</v>
      </c>
      <c r="K244" s="808">
        <f>+K245+K247</f>
        <v>0</v>
      </c>
      <c r="L244" s="271">
        <f t="shared" si="178"/>
        <v>0</v>
      </c>
      <c r="M244" s="241">
        <f t="shared" ref="M244:M253" si="188">+K244-G244</f>
        <v>-11188391</v>
      </c>
      <c r="N244" s="3187"/>
      <c r="O244" s="218"/>
    </row>
    <row r="245" spans="1:15" ht="12.75" customHeight="1" x14ac:dyDescent="0.2">
      <c r="A245" s="3131"/>
      <c r="B245" s="242" t="s">
        <v>17</v>
      </c>
      <c r="C245" s="3100" t="s">
        <v>38</v>
      </c>
      <c r="D245" s="812">
        <f t="shared" ref="D245" si="189">+D246</f>
        <v>5528123</v>
      </c>
      <c r="E245" s="813">
        <f>+E246</f>
        <v>79370</v>
      </c>
      <c r="F245" s="813">
        <f>+F246</f>
        <v>1506677</v>
      </c>
      <c r="G245" s="813">
        <f>+G246</f>
        <v>3942076</v>
      </c>
      <c r="H245" s="813">
        <f>+H246</f>
        <v>0</v>
      </c>
      <c r="I245" s="812">
        <f>+I246</f>
        <v>1421373</v>
      </c>
      <c r="J245" s="144">
        <f t="shared" si="155"/>
        <v>25.711674649786193</v>
      </c>
      <c r="K245" s="813">
        <f>+K246</f>
        <v>0</v>
      </c>
      <c r="L245" s="294">
        <f t="shared" si="178"/>
        <v>0</v>
      </c>
      <c r="M245" s="778">
        <f t="shared" si="188"/>
        <v>-3942076</v>
      </c>
      <c r="N245" s="3187"/>
      <c r="O245" s="218"/>
    </row>
    <row r="246" spans="1:15" ht="12.75" customHeight="1" x14ac:dyDescent="0.2">
      <c r="A246" s="3131"/>
      <c r="B246" s="243" t="s">
        <v>4</v>
      </c>
      <c r="C246" s="3101"/>
      <c r="D246" s="244">
        <f>+E246+F246+G246+H246</f>
        <v>5528123</v>
      </c>
      <c r="E246" s="245">
        <f>58161+21209</f>
        <v>79370</v>
      </c>
      <c r="F246" s="245">
        <v>1506677</v>
      </c>
      <c r="G246" s="245">
        <v>3942076</v>
      </c>
      <c r="H246" s="245">
        <v>0</v>
      </c>
      <c r="I246" s="274">
        <f>E246+F246+K246-164674</f>
        <v>1421373</v>
      </c>
      <c r="J246" s="249">
        <f t="shared" si="155"/>
        <v>25.711674649786193</v>
      </c>
      <c r="K246" s="779">
        <v>0</v>
      </c>
      <c r="L246" s="276">
        <f t="shared" si="178"/>
        <v>0</v>
      </c>
      <c r="M246" s="247">
        <f t="shared" si="188"/>
        <v>-3942076</v>
      </c>
      <c r="N246" s="3187"/>
      <c r="O246" s="218"/>
    </row>
    <row r="247" spans="1:15" ht="12.75" customHeight="1" x14ac:dyDescent="0.2">
      <c r="A247" s="3131"/>
      <c r="B247" s="253" t="s">
        <v>12</v>
      </c>
      <c r="C247" s="3101"/>
      <c r="D247" s="254">
        <f t="shared" ref="D247" si="190">+D248</f>
        <v>26292738</v>
      </c>
      <c r="E247" s="255">
        <f>+E248</f>
        <v>8553100</v>
      </c>
      <c r="F247" s="255">
        <f>+F248</f>
        <v>10493323</v>
      </c>
      <c r="G247" s="255">
        <f>+G248</f>
        <v>7246315</v>
      </c>
      <c r="H247" s="255">
        <f>+H248</f>
        <v>0</v>
      </c>
      <c r="I247" s="254">
        <f>+I248</f>
        <v>19044271</v>
      </c>
      <c r="J247" s="26">
        <f t="shared" si="155"/>
        <v>72.431676761849602</v>
      </c>
      <c r="K247" s="255">
        <f>+K248</f>
        <v>0</v>
      </c>
      <c r="L247" s="834">
        <f t="shared" si="178"/>
        <v>0</v>
      </c>
      <c r="M247" s="778">
        <f t="shared" si="188"/>
        <v>-7246315</v>
      </c>
      <c r="N247" s="3187"/>
      <c r="O247" s="218"/>
    </row>
    <row r="248" spans="1:15" ht="12.75" customHeight="1" x14ac:dyDescent="0.2">
      <c r="A248" s="3131"/>
      <c r="B248" s="243" t="s">
        <v>14</v>
      </c>
      <c r="C248" s="3101"/>
      <c r="D248" s="244">
        <f>++E248+F248+G248+H248</f>
        <v>26292738</v>
      </c>
      <c r="E248" s="779">
        <f>17047+365000+204100+7966953</f>
        <v>8553100</v>
      </c>
      <c r="F248" s="245">
        <v>10493323</v>
      </c>
      <c r="G248" s="245">
        <v>7246315</v>
      </c>
      <c r="H248" s="245">
        <v>0</v>
      </c>
      <c r="I248" s="274">
        <f>E248+F248+K248-2152</f>
        <v>19044271</v>
      </c>
      <c r="J248" s="249">
        <f t="shared" si="155"/>
        <v>72.431676761849602</v>
      </c>
      <c r="K248" s="779">
        <v>0</v>
      </c>
      <c r="L248" s="276">
        <f t="shared" si="178"/>
        <v>0</v>
      </c>
      <c r="M248" s="247">
        <f t="shared" si="188"/>
        <v>-7246315</v>
      </c>
      <c r="N248" s="3187"/>
      <c r="O248" s="218"/>
    </row>
    <row r="249" spans="1:15" s="266" customFormat="1" ht="12.75" customHeight="1" x14ac:dyDescent="0.2">
      <c r="A249" s="3132"/>
      <c r="B249" s="220" t="s">
        <v>16</v>
      </c>
      <c r="C249" s="25"/>
      <c r="D249" s="233">
        <f>+D252+D250</f>
        <v>27134219</v>
      </c>
      <c r="E249" s="808">
        <f t="shared" ref="E249:H249" si="191">+E252+E250</f>
        <v>0</v>
      </c>
      <c r="F249" s="808">
        <f t="shared" si="191"/>
        <v>18716756</v>
      </c>
      <c r="G249" s="808">
        <f t="shared" si="191"/>
        <v>8417463</v>
      </c>
      <c r="H249" s="808">
        <f t="shared" si="191"/>
        <v>0</v>
      </c>
      <c r="I249" s="807">
        <f>+I250+I252</f>
        <v>18716756</v>
      </c>
      <c r="J249" s="267">
        <f t="shared" si="155"/>
        <v>68.978421674860073</v>
      </c>
      <c r="K249" s="808">
        <f>+K252+K250</f>
        <v>0</v>
      </c>
      <c r="L249" s="271">
        <f t="shared" si="178"/>
        <v>0</v>
      </c>
      <c r="M249" s="241">
        <f t="shared" si="188"/>
        <v>-8417463</v>
      </c>
      <c r="N249" s="3101"/>
      <c r="O249" s="218"/>
    </row>
    <row r="250" spans="1:15" s="266" customFormat="1" ht="12.75" customHeight="1" x14ac:dyDescent="0.2">
      <c r="A250" s="3132"/>
      <c r="B250" s="880" t="s">
        <v>17</v>
      </c>
      <c r="C250" s="3154" t="s">
        <v>34</v>
      </c>
      <c r="D250" s="886">
        <f t="shared" ref="D250:I250" si="192">+D251</f>
        <v>841481</v>
      </c>
      <c r="E250" s="887">
        <f t="shared" si="192"/>
        <v>0</v>
      </c>
      <c r="F250" s="925">
        <f>+F251</f>
        <v>841481</v>
      </c>
      <c r="G250" s="925">
        <f t="shared" si="192"/>
        <v>0</v>
      </c>
      <c r="H250" s="889">
        <f t="shared" si="192"/>
        <v>0</v>
      </c>
      <c r="I250" s="886">
        <f t="shared" si="192"/>
        <v>841481</v>
      </c>
      <c r="J250" s="883">
        <f t="shared" ref="J250:J251" si="193">I250/D250*100</f>
        <v>100</v>
      </c>
      <c r="K250" s="887">
        <f>+K251</f>
        <v>0</v>
      </c>
      <c r="L250" s="890">
        <v>0</v>
      </c>
      <c r="M250" s="778">
        <f t="shared" si="188"/>
        <v>0</v>
      </c>
      <c r="N250" s="3101"/>
      <c r="O250" s="218"/>
    </row>
    <row r="251" spans="1:15" s="266" customFormat="1" ht="25.5" x14ac:dyDescent="0.2">
      <c r="A251" s="3132"/>
      <c r="B251" s="926" t="s">
        <v>299</v>
      </c>
      <c r="C251" s="3155"/>
      <c r="D251" s="244">
        <f>+E251+F251+G251+H251</f>
        <v>841481</v>
      </c>
      <c r="E251" s="906"/>
      <c r="F251" s="927">
        <v>841481</v>
      </c>
      <c r="G251" s="927">
        <v>0</v>
      </c>
      <c r="H251" s="908">
        <v>0</v>
      </c>
      <c r="I251" s="274">
        <f>E251+F251+K251</f>
        <v>841481</v>
      </c>
      <c r="J251" s="780">
        <f t="shared" si="193"/>
        <v>100</v>
      </c>
      <c r="K251" s="871">
        <v>0</v>
      </c>
      <c r="L251" s="782">
        <v>0</v>
      </c>
      <c r="M251" s="247">
        <f t="shared" si="188"/>
        <v>0</v>
      </c>
      <c r="N251" s="3101"/>
      <c r="O251" s="218"/>
    </row>
    <row r="252" spans="1:15" s="293" customFormat="1" ht="12.75" customHeight="1" x14ac:dyDescent="0.2">
      <c r="A252" s="3132"/>
      <c r="B252" s="253" t="s">
        <v>12</v>
      </c>
      <c r="C252" s="3155"/>
      <c r="D252" s="277">
        <f>+D253</f>
        <v>26292738</v>
      </c>
      <c r="E252" s="284">
        <v>0</v>
      </c>
      <c r="F252" s="278">
        <f>+F253</f>
        <v>17875275</v>
      </c>
      <c r="G252" s="278">
        <f t="shared" ref="G252:I252" si="194">+G253</f>
        <v>8417463</v>
      </c>
      <c r="H252" s="873">
        <f t="shared" si="194"/>
        <v>0</v>
      </c>
      <c r="I252" s="812">
        <f t="shared" si="194"/>
        <v>17875275</v>
      </c>
      <c r="J252" s="144">
        <f t="shared" si="155"/>
        <v>67.985597391949057</v>
      </c>
      <c r="K252" s="813">
        <f>+K253</f>
        <v>0</v>
      </c>
      <c r="L252" s="294">
        <f t="shared" si="178"/>
        <v>0</v>
      </c>
      <c r="M252" s="778">
        <f t="shared" si="188"/>
        <v>-8417463</v>
      </c>
      <c r="N252" s="3101"/>
      <c r="O252" s="218"/>
    </row>
    <row r="253" spans="1:15" s="266" customFormat="1" ht="12.75" customHeight="1" thickBot="1" x14ac:dyDescent="0.25">
      <c r="A253" s="3133"/>
      <c r="B253" s="280" t="s">
        <v>14</v>
      </c>
      <c r="C253" s="3206"/>
      <c r="D253" s="262">
        <f>++E253+F253+G253+H253</f>
        <v>26292738</v>
      </c>
      <c r="E253" s="818">
        <v>0</v>
      </c>
      <c r="F253" s="843">
        <v>17875275</v>
      </c>
      <c r="G253" s="843">
        <v>8417463</v>
      </c>
      <c r="H253" s="928">
        <v>0</v>
      </c>
      <c r="I253" s="845">
        <f>E253+F253+K253</f>
        <v>17875275</v>
      </c>
      <c r="J253" s="270">
        <f t="shared" si="155"/>
        <v>67.985597391949057</v>
      </c>
      <c r="K253" s="263">
        <v>0</v>
      </c>
      <c r="L253" s="273">
        <f t="shared" si="178"/>
        <v>0</v>
      </c>
      <c r="M253" s="247">
        <f t="shared" si="188"/>
        <v>-8417463</v>
      </c>
      <c r="N253" s="3104"/>
      <c r="O253" s="218"/>
    </row>
    <row r="254" spans="1:15" ht="26.25" customHeight="1" x14ac:dyDescent="0.2">
      <c r="A254" s="3130" t="s">
        <v>58</v>
      </c>
      <c r="B254" s="831" t="s">
        <v>64</v>
      </c>
      <c r="C254" s="236" t="s">
        <v>166</v>
      </c>
      <c r="D254" s="237"/>
      <c r="E254" s="238"/>
      <c r="F254" s="238"/>
      <c r="G254" s="238"/>
      <c r="H254" s="239"/>
      <c r="I254" s="237"/>
      <c r="J254" s="238"/>
      <c r="K254" s="238"/>
      <c r="L254" s="240"/>
      <c r="M254" s="240"/>
      <c r="N254" s="3127" t="s">
        <v>37</v>
      </c>
      <c r="O254" s="218"/>
    </row>
    <row r="255" spans="1:15" ht="11.25" customHeight="1" x14ac:dyDescent="0.2">
      <c r="A255" s="3131"/>
      <c r="B255" s="220" t="s">
        <v>2</v>
      </c>
      <c r="C255" s="25"/>
      <c r="D255" s="807">
        <f t="shared" ref="D255:I255" si="195">+D256+D258</f>
        <v>16110000</v>
      </c>
      <c r="E255" s="808">
        <f t="shared" si="195"/>
        <v>935592</v>
      </c>
      <c r="F255" s="808">
        <f>+F256+F258</f>
        <v>10200000</v>
      </c>
      <c r="G255" s="808">
        <f t="shared" si="195"/>
        <v>4974408</v>
      </c>
      <c r="H255" s="808">
        <f t="shared" si="195"/>
        <v>0</v>
      </c>
      <c r="I255" s="807">
        <f t="shared" si="195"/>
        <v>11033475</v>
      </c>
      <c r="J255" s="267">
        <f t="shared" si="155"/>
        <v>68.488361266294234</v>
      </c>
      <c r="K255" s="808">
        <f>+K256+K258</f>
        <v>270934</v>
      </c>
      <c r="L255" s="271">
        <f t="shared" si="178"/>
        <v>5.4465576607306838</v>
      </c>
      <c r="M255" s="241">
        <f t="shared" ref="M255:M262" si="196">+K255-G255</f>
        <v>-4703474</v>
      </c>
      <c r="N255" s="3187"/>
      <c r="O255" s="218"/>
    </row>
    <row r="256" spans="1:15" ht="13.5" customHeight="1" x14ac:dyDescent="0.2">
      <c r="A256" s="3131"/>
      <c r="B256" s="242" t="s">
        <v>17</v>
      </c>
      <c r="C256" s="3100" t="s">
        <v>38</v>
      </c>
      <c r="D256" s="812">
        <f t="shared" ref="D256:I256" si="197">+D257</f>
        <v>3900000</v>
      </c>
      <c r="E256" s="813">
        <f t="shared" si="197"/>
        <v>622029</v>
      </c>
      <c r="F256" s="813">
        <f>+F257</f>
        <v>114965</v>
      </c>
      <c r="G256" s="813">
        <f t="shared" si="197"/>
        <v>3163006</v>
      </c>
      <c r="H256" s="813">
        <f t="shared" si="197"/>
        <v>0</v>
      </c>
      <c r="I256" s="812">
        <f t="shared" si="197"/>
        <v>681072</v>
      </c>
      <c r="J256" s="144">
        <f t="shared" si="155"/>
        <v>17.463384615384616</v>
      </c>
      <c r="K256" s="813">
        <f>+K257</f>
        <v>44078</v>
      </c>
      <c r="L256" s="294">
        <f t="shared" si="178"/>
        <v>1.3935477833428074</v>
      </c>
      <c r="M256" s="778">
        <f t="shared" si="196"/>
        <v>-3118928</v>
      </c>
      <c r="N256" s="3187"/>
      <c r="O256" s="218"/>
    </row>
    <row r="257" spans="1:15" ht="12" customHeight="1" x14ac:dyDescent="0.2">
      <c r="A257" s="3131"/>
      <c r="B257" s="243" t="s">
        <v>4</v>
      </c>
      <c r="C257" s="3100"/>
      <c r="D257" s="244">
        <f>+E257+F257+G257+H257</f>
        <v>3900000</v>
      </c>
      <c r="E257" s="779">
        <f>56534+79390+486105</f>
        <v>622029</v>
      </c>
      <c r="F257" s="245">
        <v>114965</v>
      </c>
      <c r="G257" s="245">
        <v>3163006</v>
      </c>
      <c r="H257" s="245">
        <v>0</v>
      </c>
      <c r="I257" s="274">
        <f>E257+F257+K257-100000</f>
        <v>681072</v>
      </c>
      <c r="J257" s="249">
        <f t="shared" si="155"/>
        <v>17.463384615384616</v>
      </c>
      <c r="K257" s="779">
        <v>44078</v>
      </c>
      <c r="L257" s="276">
        <f t="shared" si="178"/>
        <v>1.3935477833428074</v>
      </c>
      <c r="M257" s="247">
        <f t="shared" si="196"/>
        <v>-3118928</v>
      </c>
      <c r="N257" s="3187"/>
      <c r="O257" s="218"/>
    </row>
    <row r="258" spans="1:15" ht="12.75" customHeight="1" x14ac:dyDescent="0.2">
      <c r="A258" s="3131"/>
      <c r="B258" s="253" t="s">
        <v>12</v>
      </c>
      <c r="C258" s="3100"/>
      <c r="D258" s="254">
        <f t="shared" ref="D258:I258" si="198">+D259</f>
        <v>12210000</v>
      </c>
      <c r="E258" s="255">
        <f t="shared" si="198"/>
        <v>313563</v>
      </c>
      <c r="F258" s="255">
        <f>+F259</f>
        <v>10085035</v>
      </c>
      <c r="G258" s="255">
        <f t="shared" si="198"/>
        <v>1811402</v>
      </c>
      <c r="H258" s="255">
        <f t="shared" si="198"/>
        <v>0</v>
      </c>
      <c r="I258" s="254">
        <f t="shared" si="198"/>
        <v>10352403</v>
      </c>
      <c r="J258" s="26">
        <f t="shared" si="155"/>
        <v>84.786265356265361</v>
      </c>
      <c r="K258" s="255">
        <f>+K259</f>
        <v>226856</v>
      </c>
      <c r="L258" s="834">
        <f t="shared" si="178"/>
        <v>12.523779922954706</v>
      </c>
      <c r="M258" s="778">
        <f t="shared" si="196"/>
        <v>-1584546</v>
      </c>
      <c r="N258" s="3101"/>
      <c r="O258" s="218"/>
    </row>
    <row r="259" spans="1:15" ht="12" customHeight="1" x14ac:dyDescent="0.2">
      <c r="A259" s="3131"/>
      <c r="B259" s="243" t="s">
        <v>14</v>
      </c>
      <c r="C259" s="3100"/>
      <c r="D259" s="244">
        <f>+E259+F259+G259+H259</f>
        <v>12210000</v>
      </c>
      <c r="E259" s="779">
        <f>20610+126195+166758</f>
        <v>313563</v>
      </c>
      <c r="F259" s="245">
        <v>10085035</v>
      </c>
      <c r="G259" s="245">
        <v>1811402</v>
      </c>
      <c r="H259" s="245">
        <v>0</v>
      </c>
      <c r="I259" s="274">
        <f>E259+F259+K259-273051</f>
        <v>10352403</v>
      </c>
      <c r="J259" s="249">
        <f t="shared" si="155"/>
        <v>84.786265356265361</v>
      </c>
      <c r="K259" s="779">
        <v>226856</v>
      </c>
      <c r="L259" s="276">
        <f t="shared" si="178"/>
        <v>12.523779922954706</v>
      </c>
      <c r="M259" s="247">
        <f t="shared" si="196"/>
        <v>-1584546</v>
      </c>
      <c r="N259" s="3101"/>
      <c r="O259" s="218"/>
    </row>
    <row r="260" spans="1:15" s="266" customFormat="1" ht="12.75" customHeight="1" x14ac:dyDescent="0.2">
      <c r="A260" s="3131"/>
      <c r="B260" s="220" t="s">
        <v>16</v>
      </c>
      <c r="C260" s="25"/>
      <c r="D260" s="233">
        <f>+D261</f>
        <v>12210000</v>
      </c>
      <c r="E260" s="287">
        <v>0</v>
      </c>
      <c r="F260" s="234">
        <f>+F261</f>
        <v>7872228</v>
      </c>
      <c r="G260" s="234">
        <f t="shared" ref="G260:H261" si="199">+G261</f>
        <v>4337772</v>
      </c>
      <c r="H260" s="867">
        <f t="shared" si="199"/>
        <v>0</v>
      </c>
      <c r="I260" s="233">
        <f>+I261</f>
        <v>10109362</v>
      </c>
      <c r="J260" s="267">
        <f t="shared" ref="J260:J293" si="200">I260/D260*100</f>
        <v>82.795757575757577</v>
      </c>
      <c r="K260" s="234">
        <f>+K261</f>
        <v>1688372</v>
      </c>
      <c r="L260" s="271">
        <f t="shared" si="178"/>
        <v>38.922562089478191</v>
      </c>
      <c r="M260" s="241">
        <f t="shared" si="196"/>
        <v>-2649400</v>
      </c>
      <c r="N260" s="3101"/>
      <c r="O260" s="218"/>
    </row>
    <row r="261" spans="1:15" s="293" customFormat="1" ht="12.75" customHeight="1" x14ac:dyDescent="0.2">
      <c r="A261" s="3131"/>
      <c r="B261" s="253" t="s">
        <v>12</v>
      </c>
      <c r="C261" s="3100" t="s">
        <v>34</v>
      </c>
      <c r="D261" s="277">
        <f>+D262</f>
        <v>12210000</v>
      </c>
      <c r="E261" s="284">
        <v>0</v>
      </c>
      <c r="F261" s="278">
        <f>+F262</f>
        <v>7872228</v>
      </c>
      <c r="G261" s="278">
        <f t="shared" si="199"/>
        <v>4337772</v>
      </c>
      <c r="H261" s="873">
        <f t="shared" si="199"/>
        <v>0</v>
      </c>
      <c r="I261" s="277">
        <f>+I262</f>
        <v>10109362</v>
      </c>
      <c r="J261" s="144">
        <f t="shared" si="200"/>
        <v>82.795757575757577</v>
      </c>
      <c r="K261" s="278">
        <f>+K262</f>
        <v>1688372</v>
      </c>
      <c r="L261" s="294">
        <f t="shared" si="178"/>
        <v>38.922562089478191</v>
      </c>
      <c r="M261" s="778">
        <f t="shared" si="196"/>
        <v>-2649400</v>
      </c>
      <c r="N261" s="3101"/>
      <c r="O261" s="218"/>
    </row>
    <row r="262" spans="1:15" s="266" customFormat="1" ht="12.75" customHeight="1" thickBot="1" x14ac:dyDescent="0.25">
      <c r="A262" s="3205"/>
      <c r="B262" s="280" t="s">
        <v>14</v>
      </c>
      <c r="C262" s="3104"/>
      <c r="D262" s="262">
        <f>+E262+F262+G262+H262</f>
        <v>12210000</v>
      </c>
      <c r="E262" s="818">
        <v>0</v>
      </c>
      <c r="F262" s="843">
        <v>7872228</v>
      </c>
      <c r="G262" s="843">
        <v>4337772</v>
      </c>
      <c r="H262" s="928">
        <v>0</v>
      </c>
      <c r="I262" s="845">
        <f>8420990+K262</f>
        <v>10109362</v>
      </c>
      <c r="J262" s="270">
        <f t="shared" si="200"/>
        <v>82.795757575757577</v>
      </c>
      <c r="K262" s="843">
        <v>1688372</v>
      </c>
      <c r="L262" s="273">
        <f t="shared" si="178"/>
        <v>38.922562089478191</v>
      </c>
      <c r="M262" s="247">
        <f t="shared" si="196"/>
        <v>-2649400</v>
      </c>
      <c r="N262" s="3104"/>
      <c r="O262" s="218"/>
    </row>
    <row r="263" spans="1:15" ht="26.25" customHeight="1" thickBot="1" x14ac:dyDescent="0.25">
      <c r="A263" s="3176" t="s">
        <v>60</v>
      </c>
      <c r="B263" s="929" t="s">
        <v>276</v>
      </c>
      <c r="C263" s="236" t="s">
        <v>166</v>
      </c>
      <c r="D263" s="291"/>
      <c r="E263" s="292"/>
      <c r="F263" s="292"/>
      <c r="G263" s="292"/>
      <c r="H263" s="878"/>
      <c r="I263" s="291"/>
      <c r="J263" s="292"/>
      <c r="K263" s="292"/>
      <c r="L263" s="879"/>
      <c r="M263" s="879"/>
      <c r="N263" s="3118" t="s">
        <v>37</v>
      </c>
      <c r="O263" s="218"/>
    </row>
    <row r="264" spans="1:15" ht="13.5" customHeight="1" thickBot="1" x14ac:dyDescent="0.25">
      <c r="A264" s="3176"/>
      <c r="B264" s="220" t="s">
        <v>2</v>
      </c>
      <c r="C264" s="25"/>
      <c r="D264" s="807">
        <f t="shared" ref="D264:I264" si="201">+D265+D267</f>
        <v>29082967</v>
      </c>
      <c r="E264" s="808">
        <f t="shared" si="201"/>
        <v>1557843</v>
      </c>
      <c r="F264" s="808">
        <f>+F265+F267</f>
        <v>7053277</v>
      </c>
      <c r="G264" s="808">
        <f t="shared" si="201"/>
        <v>20471847</v>
      </c>
      <c r="H264" s="808">
        <f t="shared" si="201"/>
        <v>0</v>
      </c>
      <c r="I264" s="807">
        <f t="shared" si="201"/>
        <v>8583079</v>
      </c>
      <c r="J264" s="267">
        <f t="shared" si="200"/>
        <v>29.51239122198227</v>
      </c>
      <c r="K264" s="808">
        <f>+K265+K267</f>
        <v>6060</v>
      </c>
      <c r="L264" s="271">
        <f t="shared" si="178"/>
        <v>2.9601628030924615E-2</v>
      </c>
      <c r="M264" s="241">
        <f t="shared" ref="M264:M271" si="202">+K264-G264</f>
        <v>-20465787</v>
      </c>
      <c r="N264" s="3118"/>
      <c r="O264" s="218"/>
    </row>
    <row r="265" spans="1:15" ht="13.5" customHeight="1" thickBot="1" x14ac:dyDescent="0.25">
      <c r="A265" s="3176"/>
      <c r="B265" s="242" t="s">
        <v>17</v>
      </c>
      <c r="C265" s="3100" t="s">
        <v>38</v>
      </c>
      <c r="D265" s="812">
        <f t="shared" ref="D265:I265" si="203">+D266</f>
        <v>4532967</v>
      </c>
      <c r="E265" s="813">
        <f t="shared" si="203"/>
        <v>0</v>
      </c>
      <c r="F265" s="813">
        <f>+F266</f>
        <v>997033</v>
      </c>
      <c r="G265" s="813">
        <f t="shared" si="203"/>
        <v>3535934</v>
      </c>
      <c r="H265" s="813">
        <f t="shared" si="203"/>
        <v>0</v>
      </c>
      <c r="I265" s="812">
        <f t="shared" si="203"/>
        <v>968872</v>
      </c>
      <c r="J265" s="144">
        <f t="shared" si="200"/>
        <v>21.373903670598089</v>
      </c>
      <c r="K265" s="813">
        <f>+K266</f>
        <v>5940</v>
      </c>
      <c r="L265" s="294">
        <f t="shared" si="178"/>
        <v>0.16798956089112524</v>
      </c>
      <c r="M265" s="778">
        <f t="shared" si="202"/>
        <v>-3529994</v>
      </c>
      <c r="N265" s="3118"/>
      <c r="O265" s="218"/>
    </row>
    <row r="266" spans="1:15" ht="13.5" customHeight="1" thickBot="1" x14ac:dyDescent="0.25">
      <c r="A266" s="3176"/>
      <c r="B266" s="243" t="s">
        <v>4</v>
      </c>
      <c r="C266" s="3101"/>
      <c r="D266" s="244">
        <f>+E266+F266+G266+H266</f>
        <v>4532967</v>
      </c>
      <c r="E266" s="779">
        <v>0</v>
      </c>
      <c r="F266" s="245">
        <v>997033</v>
      </c>
      <c r="G266" s="245">
        <v>3535934</v>
      </c>
      <c r="H266" s="245">
        <v>0</v>
      </c>
      <c r="I266" s="274">
        <f>E266+F266+K266-34101</f>
        <v>968872</v>
      </c>
      <c r="J266" s="249">
        <f t="shared" si="200"/>
        <v>21.373903670598089</v>
      </c>
      <c r="K266" s="245">
        <v>5940</v>
      </c>
      <c r="L266" s="276">
        <f t="shared" si="178"/>
        <v>0.16798956089112524</v>
      </c>
      <c r="M266" s="247">
        <f t="shared" si="202"/>
        <v>-3529994</v>
      </c>
      <c r="N266" s="3118"/>
      <c r="O266" s="218"/>
    </row>
    <row r="267" spans="1:15" ht="13.5" customHeight="1" thickBot="1" x14ac:dyDescent="0.25">
      <c r="A267" s="3176"/>
      <c r="B267" s="253" t="s">
        <v>12</v>
      </c>
      <c r="C267" s="3101"/>
      <c r="D267" s="812">
        <f t="shared" ref="D267:I267" si="204">+D268</f>
        <v>24550000</v>
      </c>
      <c r="E267" s="813">
        <f t="shared" si="204"/>
        <v>1557843</v>
      </c>
      <c r="F267" s="813">
        <f t="shared" si="204"/>
        <v>6056244</v>
      </c>
      <c r="G267" s="813">
        <f t="shared" si="204"/>
        <v>16935913</v>
      </c>
      <c r="H267" s="813">
        <f t="shared" si="204"/>
        <v>0</v>
      </c>
      <c r="I267" s="812">
        <f t="shared" si="204"/>
        <v>7614207</v>
      </c>
      <c r="J267" s="249">
        <f t="shared" si="200"/>
        <v>31.015099796334013</v>
      </c>
      <c r="K267" s="813">
        <f>+K268</f>
        <v>120</v>
      </c>
      <c r="L267" s="276">
        <f t="shared" si="178"/>
        <v>7.0855347450119756E-4</v>
      </c>
      <c r="M267" s="778">
        <f t="shared" si="202"/>
        <v>-16935793</v>
      </c>
      <c r="N267" s="3118"/>
      <c r="O267" s="218"/>
    </row>
    <row r="268" spans="1:15" ht="13.5" customHeight="1" thickBot="1" x14ac:dyDescent="0.25">
      <c r="A268" s="3176"/>
      <c r="B268" s="243" t="s">
        <v>14</v>
      </c>
      <c r="C268" s="3101"/>
      <c r="D268" s="244">
        <f>++E268+F268+G268+H268</f>
        <v>24550000</v>
      </c>
      <c r="E268" s="779">
        <f>81977+521360+92783+861723</f>
        <v>1557843</v>
      </c>
      <c r="F268" s="245">
        <v>6056244</v>
      </c>
      <c r="G268" s="245">
        <v>16935913</v>
      </c>
      <c r="H268" s="245">
        <v>0</v>
      </c>
      <c r="I268" s="274">
        <f>E268+F268+K268</f>
        <v>7614207</v>
      </c>
      <c r="J268" s="249">
        <f t="shared" si="200"/>
        <v>31.015099796334013</v>
      </c>
      <c r="K268" s="245">
        <v>120</v>
      </c>
      <c r="L268" s="276">
        <f t="shared" si="178"/>
        <v>7.0855347450119756E-4</v>
      </c>
      <c r="M268" s="247">
        <f t="shared" si="202"/>
        <v>-16935793</v>
      </c>
      <c r="N268" s="3118"/>
      <c r="O268" s="218"/>
    </row>
    <row r="269" spans="1:15" s="266" customFormat="1" ht="13.5" customHeight="1" thickBot="1" x14ac:dyDescent="0.25">
      <c r="A269" s="3177"/>
      <c r="B269" s="220" t="s">
        <v>16</v>
      </c>
      <c r="C269" s="25"/>
      <c r="D269" s="807">
        <f>+D270</f>
        <v>24550000</v>
      </c>
      <c r="E269" s="808">
        <v>0</v>
      </c>
      <c r="F269" s="808">
        <f t="shared" ref="F269:H270" si="205">+F270</f>
        <v>0</v>
      </c>
      <c r="G269" s="808">
        <f t="shared" si="205"/>
        <v>22550000</v>
      </c>
      <c r="H269" s="808">
        <f t="shared" si="205"/>
        <v>2000000</v>
      </c>
      <c r="I269" s="299">
        <f>+I270</f>
        <v>0</v>
      </c>
      <c r="J269" s="267">
        <f t="shared" si="200"/>
        <v>0</v>
      </c>
      <c r="K269" s="234">
        <f>+K270</f>
        <v>0</v>
      </c>
      <c r="L269" s="300">
        <v>0</v>
      </c>
      <c r="M269" s="241">
        <f t="shared" si="202"/>
        <v>-22550000</v>
      </c>
      <c r="N269" s="3116"/>
      <c r="O269" s="218"/>
    </row>
    <row r="270" spans="1:15" s="293" customFormat="1" ht="13.5" customHeight="1" thickBot="1" x14ac:dyDescent="0.25">
      <c r="A270" s="3177"/>
      <c r="B270" s="253" t="s">
        <v>12</v>
      </c>
      <c r="C270" s="3122" t="s">
        <v>34</v>
      </c>
      <c r="D270" s="812">
        <f>+D271</f>
        <v>24550000</v>
      </c>
      <c r="E270" s="813">
        <v>0</v>
      </c>
      <c r="F270" s="813">
        <f t="shared" si="205"/>
        <v>0</v>
      </c>
      <c r="G270" s="813">
        <f t="shared" si="205"/>
        <v>22550000</v>
      </c>
      <c r="H270" s="813">
        <f t="shared" si="205"/>
        <v>2000000</v>
      </c>
      <c r="I270" s="301">
        <f>+I271</f>
        <v>0</v>
      </c>
      <c r="J270" s="144">
        <f t="shared" si="200"/>
        <v>0</v>
      </c>
      <c r="K270" s="278">
        <f>+K271</f>
        <v>0</v>
      </c>
      <c r="L270" s="302">
        <v>0</v>
      </c>
      <c r="M270" s="778">
        <f t="shared" si="202"/>
        <v>-22550000</v>
      </c>
      <c r="N270" s="3116"/>
      <c r="O270" s="218"/>
    </row>
    <row r="271" spans="1:15" s="266" customFormat="1" ht="13.5" customHeight="1" thickBot="1" x14ac:dyDescent="0.25">
      <c r="A271" s="3177"/>
      <c r="B271" s="280" t="s">
        <v>14</v>
      </c>
      <c r="C271" s="3116"/>
      <c r="D271" s="262">
        <f>++E271+F271+G271+H271</f>
        <v>24550000</v>
      </c>
      <c r="E271" s="263">
        <v>0</v>
      </c>
      <c r="F271" s="799">
        <v>0</v>
      </c>
      <c r="G271" s="799">
        <v>22550000</v>
      </c>
      <c r="H271" s="799">
        <v>2000000</v>
      </c>
      <c r="I271" s="930">
        <f>E271+F271+K271</f>
        <v>0</v>
      </c>
      <c r="J271" s="270">
        <f t="shared" si="200"/>
        <v>0</v>
      </c>
      <c r="K271" s="283">
        <v>0</v>
      </c>
      <c r="L271" s="931">
        <v>0</v>
      </c>
      <c r="M271" s="263">
        <f t="shared" si="202"/>
        <v>-22550000</v>
      </c>
      <c r="N271" s="3116"/>
      <c r="O271" s="218"/>
    </row>
    <row r="272" spans="1:15" ht="25.5" customHeight="1" thickBot="1" x14ac:dyDescent="0.25">
      <c r="A272" s="3176" t="s">
        <v>61</v>
      </c>
      <c r="B272" s="932" t="s">
        <v>249</v>
      </c>
      <c r="C272" s="933"/>
      <c r="D272" s="291"/>
      <c r="E272" s="292"/>
      <c r="F272" s="292"/>
      <c r="G272" s="292"/>
      <c r="H272" s="878"/>
      <c r="I272" s="291"/>
      <c r="J272" s="292"/>
      <c r="K272" s="292"/>
      <c r="L272" s="879"/>
      <c r="M272" s="292"/>
      <c r="N272" s="3118" t="s">
        <v>37</v>
      </c>
      <c r="O272" s="218"/>
    </row>
    <row r="273" spans="1:15" ht="14.25" customHeight="1" thickBot="1" x14ac:dyDescent="0.25">
      <c r="A273" s="3176"/>
      <c r="B273" s="220" t="s">
        <v>2</v>
      </c>
      <c r="C273" s="25"/>
      <c r="D273" s="807">
        <f t="shared" ref="D273:I273" si="206">+D274+D276</f>
        <v>3841880</v>
      </c>
      <c r="E273" s="808">
        <f t="shared" si="206"/>
        <v>3836880</v>
      </c>
      <c r="F273" s="808">
        <f t="shared" si="206"/>
        <v>5000</v>
      </c>
      <c r="G273" s="808">
        <f t="shared" si="206"/>
        <v>0</v>
      </c>
      <c r="H273" s="848">
        <f t="shared" si="206"/>
        <v>0</v>
      </c>
      <c r="I273" s="807">
        <f t="shared" si="206"/>
        <v>3837480</v>
      </c>
      <c r="J273" s="267">
        <f t="shared" si="200"/>
        <v>99.88547273730569</v>
      </c>
      <c r="K273" s="808">
        <f>+K274+K276</f>
        <v>0</v>
      </c>
      <c r="L273" s="300">
        <v>0</v>
      </c>
      <c r="M273" s="241">
        <f t="shared" ref="M273:M280" si="207">+K273-G273</f>
        <v>0</v>
      </c>
      <c r="N273" s="3118"/>
      <c r="O273" s="218"/>
    </row>
    <row r="274" spans="1:15" ht="14.25" customHeight="1" thickBot="1" x14ac:dyDescent="0.25">
      <c r="A274" s="3176"/>
      <c r="B274" s="242" t="s">
        <v>17</v>
      </c>
      <c r="C274" s="3100" t="s">
        <v>38</v>
      </c>
      <c r="D274" s="812">
        <f t="shared" ref="D274:I274" si="208">+D275</f>
        <v>3841880</v>
      </c>
      <c r="E274" s="813">
        <f t="shared" si="208"/>
        <v>3836880</v>
      </c>
      <c r="F274" s="813">
        <f t="shared" si="208"/>
        <v>5000</v>
      </c>
      <c r="G274" s="813">
        <f t="shared" si="208"/>
        <v>0</v>
      </c>
      <c r="H274" s="850">
        <f t="shared" si="208"/>
        <v>0</v>
      </c>
      <c r="I274" s="812">
        <f t="shared" si="208"/>
        <v>3837480</v>
      </c>
      <c r="J274" s="144">
        <f t="shared" si="200"/>
        <v>99.88547273730569</v>
      </c>
      <c r="K274" s="813">
        <f>+K275</f>
        <v>0</v>
      </c>
      <c r="L274" s="302">
        <v>0</v>
      </c>
      <c r="M274" s="778">
        <f t="shared" si="207"/>
        <v>0</v>
      </c>
      <c r="N274" s="3118"/>
      <c r="O274" s="218"/>
    </row>
    <row r="275" spans="1:15" ht="14.25" customHeight="1" thickBot="1" x14ac:dyDescent="0.25">
      <c r="A275" s="3176"/>
      <c r="B275" s="912" t="s">
        <v>4</v>
      </c>
      <c r="C275" s="3101"/>
      <c r="D275" s="244">
        <f>+E275+F275+G275+H275</f>
        <v>3841880</v>
      </c>
      <c r="E275" s="779">
        <f>6266+366000+50020+3414594</f>
        <v>3836880</v>
      </c>
      <c r="F275" s="245">
        <v>5000</v>
      </c>
      <c r="G275" s="245">
        <v>0</v>
      </c>
      <c r="H275" s="269">
        <v>0</v>
      </c>
      <c r="I275" s="274">
        <f>E275+F275+K275-4400</f>
        <v>3837480</v>
      </c>
      <c r="J275" s="249">
        <f t="shared" si="200"/>
        <v>99.88547273730569</v>
      </c>
      <c r="K275" s="245">
        <v>0</v>
      </c>
      <c r="L275" s="251">
        <v>0</v>
      </c>
      <c r="M275" s="247">
        <f t="shared" si="207"/>
        <v>0</v>
      </c>
      <c r="N275" s="3118"/>
      <c r="O275" s="218"/>
    </row>
    <row r="276" spans="1:15" ht="14.25" customHeight="1" thickBot="1" x14ac:dyDescent="0.25">
      <c r="A276" s="3176"/>
      <c r="B276" s="253" t="s">
        <v>12</v>
      </c>
      <c r="C276" s="3101"/>
      <c r="D276" s="304">
        <f t="shared" ref="D276:I276" si="209">+D277</f>
        <v>0</v>
      </c>
      <c r="E276" s="257">
        <f t="shared" si="209"/>
        <v>0</v>
      </c>
      <c r="F276" s="257">
        <f t="shared" si="209"/>
        <v>0</v>
      </c>
      <c r="G276" s="257">
        <f t="shared" si="209"/>
        <v>0</v>
      </c>
      <c r="H276" s="256">
        <f t="shared" si="209"/>
        <v>0</v>
      </c>
      <c r="I276" s="304">
        <f t="shared" si="209"/>
        <v>0</v>
      </c>
      <c r="J276" s="257">
        <v>0</v>
      </c>
      <c r="K276" s="257">
        <f>+K277</f>
        <v>0</v>
      </c>
      <c r="L276" s="258">
        <v>0</v>
      </c>
      <c r="M276" s="778">
        <f t="shared" si="207"/>
        <v>0</v>
      </c>
      <c r="N276" s="3118"/>
      <c r="O276" s="218"/>
    </row>
    <row r="277" spans="1:15" ht="14.25" customHeight="1" thickBot="1" x14ac:dyDescent="0.25">
      <c r="A277" s="3176"/>
      <c r="B277" s="912" t="s">
        <v>14</v>
      </c>
      <c r="C277" s="3101"/>
      <c r="D277" s="783">
        <f>+E277+F277+G277+H277</f>
        <v>0</v>
      </c>
      <c r="E277" s="250">
        <v>0</v>
      </c>
      <c r="F277" s="260">
        <v>0</v>
      </c>
      <c r="G277" s="260">
        <v>0</v>
      </c>
      <c r="H277" s="815">
        <v>0</v>
      </c>
      <c r="I277" s="305">
        <f>E277+F277+K277</f>
        <v>0</v>
      </c>
      <c r="J277" s="260">
        <v>0</v>
      </c>
      <c r="K277" s="250">
        <v>0</v>
      </c>
      <c r="L277" s="251">
        <v>0</v>
      </c>
      <c r="M277" s="247">
        <f t="shared" si="207"/>
        <v>0</v>
      </c>
      <c r="N277" s="3118"/>
      <c r="O277" s="218"/>
    </row>
    <row r="278" spans="1:15" s="266" customFormat="1" ht="14.25" customHeight="1" thickBot="1" x14ac:dyDescent="0.25">
      <c r="A278" s="3177"/>
      <c r="B278" s="220" t="s">
        <v>16</v>
      </c>
      <c r="C278" s="25"/>
      <c r="D278" s="299">
        <f>+D279</f>
        <v>0</v>
      </c>
      <c r="E278" s="287">
        <f t="shared" ref="E278:H279" si="210">+E279</f>
        <v>0</v>
      </c>
      <c r="F278" s="287">
        <f t="shared" si="210"/>
        <v>0</v>
      </c>
      <c r="G278" s="287">
        <f t="shared" si="210"/>
        <v>0</v>
      </c>
      <c r="H278" s="261">
        <f t="shared" si="210"/>
        <v>0</v>
      </c>
      <c r="I278" s="299">
        <f>+I279</f>
        <v>0</v>
      </c>
      <c r="J278" s="287">
        <v>0</v>
      </c>
      <c r="K278" s="287">
        <f>+K279</f>
        <v>0</v>
      </c>
      <c r="L278" s="824">
        <v>0</v>
      </c>
      <c r="M278" s="241">
        <f t="shared" si="207"/>
        <v>0</v>
      </c>
      <c r="N278" s="3116"/>
      <c r="O278" s="218"/>
    </row>
    <row r="279" spans="1:15" s="293" customFormat="1" ht="14.25" customHeight="1" thickBot="1" x14ac:dyDescent="0.25">
      <c r="A279" s="3177"/>
      <c r="B279" s="253" t="s">
        <v>12</v>
      </c>
      <c r="C279" s="3100" t="s">
        <v>34</v>
      </c>
      <c r="D279" s="301">
        <f>+D280</f>
        <v>0</v>
      </c>
      <c r="E279" s="284">
        <v>0</v>
      </c>
      <c r="F279" s="284">
        <f t="shared" si="210"/>
        <v>0</v>
      </c>
      <c r="G279" s="289">
        <f t="shared" si="210"/>
        <v>0</v>
      </c>
      <c r="H279" s="282">
        <f t="shared" si="210"/>
        <v>0</v>
      </c>
      <c r="I279" s="301">
        <f>+I280</f>
        <v>0</v>
      </c>
      <c r="J279" s="284">
        <v>0</v>
      </c>
      <c r="K279" s="284">
        <f>+K280</f>
        <v>0</v>
      </c>
      <c r="L279" s="934">
        <v>0</v>
      </c>
      <c r="M279" s="778">
        <f t="shared" si="207"/>
        <v>0</v>
      </c>
      <c r="N279" s="3116"/>
      <c r="O279" s="218"/>
    </row>
    <row r="280" spans="1:15" s="293" customFormat="1" ht="14.25" customHeight="1" thickBot="1" x14ac:dyDescent="0.25">
      <c r="A280" s="3177"/>
      <c r="B280" s="914" t="s">
        <v>14</v>
      </c>
      <c r="C280" s="3104"/>
      <c r="D280" s="817">
        <f>+E280+F280+G280+H280</f>
        <v>0</v>
      </c>
      <c r="E280" s="915">
        <v>0</v>
      </c>
      <c r="F280" s="915">
        <v>0</v>
      </c>
      <c r="G280" s="935">
        <v>0</v>
      </c>
      <c r="H280" s="936">
        <v>0</v>
      </c>
      <c r="I280" s="930">
        <f>E280+F280+K280</f>
        <v>0</v>
      </c>
      <c r="J280" s="874">
        <v>0</v>
      </c>
      <c r="K280" s="915">
        <v>0</v>
      </c>
      <c r="L280" s="937">
        <v>0</v>
      </c>
      <c r="M280" s="263">
        <f t="shared" si="207"/>
        <v>0</v>
      </c>
      <c r="N280" s="3116"/>
      <c r="O280" s="218"/>
    </row>
    <row r="281" spans="1:15" ht="25.5" x14ac:dyDescent="0.2">
      <c r="A281" s="3190" t="s">
        <v>63</v>
      </c>
      <c r="B281" s="938" t="s">
        <v>250</v>
      </c>
      <c r="C281" s="857" t="s">
        <v>166</v>
      </c>
      <c r="D281" s="939"/>
      <c r="E281" s="940"/>
      <c r="F281" s="940"/>
      <c r="G281" s="940"/>
      <c r="H281" s="941"/>
      <c r="I281" s="940"/>
      <c r="J281" s="940"/>
      <c r="K281" s="940"/>
      <c r="L281" s="942"/>
      <c r="M281" s="942"/>
      <c r="N281" s="3191" t="s">
        <v>37</v>
      </c>
      <c r="O281" s="218"/>
    </row>
    <row r="282" spans="1:15" ht="15" customHeight="1" x14ac:dyDescent="0.2">
      <c r="A282" s="3131"/>
      <c r="B282" s="220" t="s">
        <v>2</v>
      </c>
      <c r="C282" s="25"/>
      <c r="D282" s="807">
        <f t="shared" ref="D282:I282" si="211">+D283+D285</f>
        <v>4559294</v>
      </c>
      <c r="E282" s="808">
        <f t="shared" si="211"/>
        <v>559294</v>
      </c>
      <c r="F282" s="943">
        <f t="shared" si="211"/>
        <v>0</v>
      </c>
      <c r="G282" s="808">
        <f t="shared" si="211"/>
        <v>4000000</v>
      </c>
      <c r="H282" s="808">
        <f t="shared" si="211"/>
        <v>0</v>
      </c>
      <c r="I282" s="807">
        <f t="shared" si="211"/>
        <v>559294</v>
      </c>
      <c r="J282" s="267">
        <f t="shared" si="200"/>
        <v>12.267118549494723</v>
      </c>
      <c r="K282" s="808">
        <f>+K283+K285</f>
        <v>0</v>
      </c>
      <c r="L282" s="300">
        <v>0</v>
      </c>
      <c r="M282" s="241">
        <f t="shared" ref="M282:M289" si="212">+K282-G282</f>
        <v>-4000000</v>
      </c>
      <c r="N282" s="3187"/>
      <c r="O282" s="218"/>
    </row>
    <row r="283" spans="1:15" ht="14.25" customHeight="1" x14ac:dyDescent="0.2">
      <c r="A283" s="3131"/>
      <c r="B283" s="242" t="s">
        <v>17</v>
      </c>
      <c r="C283" s="3100" t="s">
        <v>38</v>
      </c>
      <c r="D283" s="812">
        <f t="shared" ref="D283:I283" si="213">+D284</f>
        <v>4559294</v>
      </c>
      <c r="E283" s="813">
        <f t="shared" si="213"/>
        <v>559294</v>
      </c>
      <c r="F283" s="944">
        <f t="shared" si="213"/>
        <v>0</v>
      </c>
      <c r="G283" s="813">
        <f t="shared" si="213"/>
        <v>4000000</v>
      </c>
      <c r="H283" s="813">
        <f t="shared" si="213"/>
        <v>0</v>
      </c>
      <c r="I283" s="812">
        <f t="shared" si="213"/>
        <v>559294</v>
      </c>
      <c r="J283" s="144">
        <f t="shared" si="200"/>
        <v>12.267118549494723</v>
      </c>
      <c r="K283" s="813">
        <f>+K284</f>
        <v>0</v>
      </c>
      <c r="L283" s="302">
        <v>0</v>
      </c>
      <c r="M283" s="778">
        <f t="shared" si="212"/>
        <v>-4000000</v>
      </c>
      <c r="N283" s="3187"/>
      <c r="O283" s="218"/>
    </row>
    <row r="284" spans="1:15" ht="15" customHeight="1" x14ac:dyDescent="0.2">
      <c r="A284" s="3131"/>
      <c r="B284" s="912" t="s">
        <v>4</v>
      </c>
      <c r="C284" s="3101"/>
      <c r="D284" s="244">
        <f>+E284+F284+G284+H284</f>
        <v>4559294</v>
      </c>
      <c r="E284" s="245">
        <f>315360+243934</f>
        <v>559294</v>
      </c>
      <c r="F284" s="260">
        <v>0</v>
      </c>
      <c r="G284" s="245">
        <v>4000000</v>
      </c>
      <c r="H284" s="245">
        <v>0</v>
      </c>
      <c r="I284" s="274">
        <f>E284+F284+K284</f>
        <v>559294</v>
      </c>
      <c r="J284" s="249">
        <f t="shared" si="200"/>
        <v>12.267118549494723</v>
      </c>
      <c r="K284" s="245">
        <v>0</v>
      </c>
      <c r="L284" s="251">
        <v>0</v>
      </c>
      <c r="M284" s="247">
        <f t="shared" si="212"/>
        <v>-4000000</v>
      </c>
      <c r="N284" s="3187"/>
      <c r="O284" s="218"/>
    </row>
    <row r="285" spans="1:15" ht="15" customHeight="1" x14ac:dyDescent="0.2">
      <c r="A285" s="3131"/>
      <c r="B285" s="253" t="s">
        <v>12</v>
      </c>
      <c r="C285" s="3101"/>
      <c r="D285" s="304">
        <f t="shared" ref="D285:I285" si="214">+D286</f>
        <v>0</v>
      </c>
      <c r="E285" s="257">
        <f t="shared" si="214"/>
        <v>0</v>
      </c>
      <c r="F285" s="257">
        <f t="shared" si="214"/>
        <v>0</v>
      </c>
      <c r="G285" s="257">
        <f t="shared" si="214"/>
        <v>0</v>
      </c>
      <c r="H285" s="816">
        <f t="shared" si="214"/>
        <v>0</v>
      </c>
      <c r="I285" s="304">
        <f t="shared" si="214"/>
        <v>0</v>
      </c>
      <c r="J285" s="257">
        <v>0</v>
      </c>
      <c r="K285" s="257">
        <f>+K286</f>
        <v>0</v>
      </c>
      <c r="L285" s="258">
        <v>0</v>
      </c>
      <c r="M285" s="778">
        <f t="shared" si="212"/>
        <v>0</v>
      </c>
      <c r="N285" s="3187"/>
      <c r="O285" s="218"/>
    </row>
    <row r="286" spans="1:15" ht="12" customHeight="1" x14ac:dyDescent="0.2">
      <c r="A286" s="3131"/>
      <c r="B286" s="912" t="s">
        <v>14</v>
      </c>
      <c r="C286" s="3101"/>
      <c r="D286" s="783">
        <f>+E286+F286+G286+H286</f>
        <v>0</v>
      </c>
      <c r="E286" s="260">
        <v>0</v>
      </c>
      <c r="F286" s="260">
        <v>0</v>
      </c>
      <c r="G286" s="260">
        <v>0</v>
      </c>
      <c r="H286" s="815">
        <v>0</v>
      </c>
      <c r="I286" s="305">
        <f>E286+F286+K286</f>
        <v>0</v>
      </c>
      <c r="J286" s="260">
        <v>0</v>
      </c>
      <c r="K286" s="250">
        <v>0</v>
      </c>
      <c r="L286" s="251">
        <v>0</v>
      </c>
      <c r="M286" s="247">
        <f t="shared" si="212"/>
        <v>0</v>
      </c>
      <c r="N286" s="3187"/>
      <c r="O286" s="218"/>
    </row>
    <row r="287" spans="1:15" s="266" customFormat="1" ht="15" customHeight="1" x14ac:dyDescent="0.2">
      <c r="A287" s="3132"/>
      <c r="B287" s="220" t="s">
        <v>16</v>
      </c>
      <c r="C287" s="25"/>
      <c r="D287" s="299">
        <f>+D288</f>
        <v>0</v>
      </c>
      <c r="E287" s="287">
        <v>0</v>
      </c>
      <c r="F287" s="287">
        <f t="shared" ref="F287:H288" si="215">+F288</f>
        <v>0</v>
      </c>
      <c r="G287" s="287">
        <f t="shared" si="215"/>
        <v>0</v>
      </c>
      <c r="H287" s="261">
        <f t="shared" si="215"/>
        <v>0</v>
      </c>
      <c r="I287" s="299">
        <f>+I288</f>
        <v>0</v>
      </c>
      <c r="J287" s="287">
        <v>0</v>
      </c>
      <c r="K287" s="287">
        <f>+K288</f>
        <v>0</v>
      </c>
      <c r="L287" s="824">
        <v>0</v>
      </c>
      <c r="M287" s="241">
        <f t="shared" si="212"/>
        <v>0</v>
      </c>
      <c r="N287" s="3101"/>
      <c r="O287" s="218"/>
    </row>
    <row r="288" spans="1:15" s="293" customFormat="1" ht="12.75" customHeight="1" x14ac:dyDescent="0.2">
      <c r="A288" s="3132"/>
      <c r="B288" s="253" t="s">
        <v>12</v>
      </c>
      <c r="C288" s="3100" t="s">
        <v>34</v>
      </c>
      <c r="D288" s="301">
        <f>+D289</f>
        <v>0</v>
      </c>
      <c r="E288" s="284">
        <v>0</v>
      </c>
      <c r="F288" s="284">
        <f t="shared" si="215"/>
        <v>0</v>
      </c>
      <c r="G288" s="289">
        <f t="shared" si="215"/>
        <v>0</v>
      </c>
      <c r="H288" s="282">
        <f t="shared" si="215"/>
        <v>0</v>
      </c>
      <c r="I288" s="301">
        <f>+I289</f>
        <v>0</v>
      </c>
      <c r="J288" s="284">
        <v>0</v>
      </c>
      <c r="K288" s="284">
        <f>+K289</f>
        <v>0</v>
      </c>
      <c r="L288" s="934">
        <v>0</v>
      </c>
      <c r="M288" s="778">
        <f t="shared" si="212"/>
        <v>0</v>
      </c>
      <c r="N288" s="3101"/>
      <c r="O288" s="218"/>
    </row>
    <row r="289" spans="1:15" s="293" customFormat="1" ht="15" customHeight="1" thickBot="1" x14ac:dyDescent="0.25">
      <c r="A289" s="3133"/>
      <c r="B289" s="914" t="s">
        <v>14</v>
      </c>
      <c r="C289" s="3104"/>
      <c r="D289" s="817">
        <f>+E289+F289+G289+H289</f>
        <v>0</v>
      </c>
      <c r="E289" s="945">
        <v>0</v>
      </c>
      <c r="F289" s="915">
        <v>0</v>
      </c>
      <c r="G289" s="935">
        <v>0</v>
      </c>
      <c r="H289" s="936">
        <v>0</v>
      </c>
      <c r="I289" s="930">
        <f>E289+F289+K289</f>
        <v>0</v>
      </c>
      <c r="J289" s="874">
        <v>0</v>
      </c>
      <c r="K289" s="915">
        <v>0</v>
      </c>
      <c r="L289" s="937">
        <v>0</v>
      </c>
      <c r="M289" s="247">
        <f t="shared" si="212"/>
        <v>0</v>
      </c>
      <c r="N289" s="3104"/>
      <c r="O289" s="218"/>
    </row>
    <row r="290" spans="1:15" ht="25.5" x14ac:dyDescent="0.2">
      <c r="A290" s="3130" t="s">
        <v>65</v>
      </c>
      <c r="B290" s="932" t="s">
        <v>251</v>
      </c>
      <c r="C290" s="236" t="s">
        <v>166</v>
      </c>
      <c r="D290" s="291"/>
      <c r="E290" s="292"/>
      <c r="F290" s="292"/>
      <c r="G290" s="292"/>
      <c r="H290" s="878"/>
      <c r="I290" s="291"/>
      <c r="J290" s="292"/>
      <c r="K290" s="292"/>
      <c r="L290" s="879"/>
      <c r="M290" s="879"/>
      <c r="N290" s="3127" t="s">
        <v>37</v>
      </c>
      <c r="O290" s="218"/>
    </row>
    <row r="291" spans="1:15" ht="15.75" customHeight="1" x14ac:dyDescent="0.2">
      <c r="A291" s="3131"/>
      <c r="B291" s="220" t="s">
        <v>2</v>
      </c>
      <c r="C291" s="25"/>
      <c r="D291" s="807">
        <f t="shared" ref="D291" si="216">+D292+D294</f>
        <v>2280890</v>
      </c>
      <c r="E291" s="808">
        <f>+E292+E294</f>
        <v>57340</v>
      </c>
      <c r="F291" s="808">
        <f>+F292+F294</f>
        <v>223550</v>
      </c>
      <c r="G291" s="808">
        <f>+G292+G294</f>
        <v>2000000</v>
      </c>
      <c r="H291" s="808">
        <f>+H292+H294</f>
        <v>0</v>
      </c>
      <c r="I291" s="807">
        <f>+I292+I294</f>
        <v>1778206</v>
      </c>
      <c r="J291" s="267">
        <f t="shared" si="200"/>
        <v>77.961059060279098</v>
      </c>
      <c r="K291" s="808">
        <f>+K292+K294</f>
        <v>1497316</v>
      </c>
      <c r="L291" s="271">
        <f t="shared" ref="L291:L318" si="217">K291/G291*100</f>
        <v>74.865800000000007</v>
      </c>
      <c r="M291" s="241">
        <f t="shared" ref="M291:M298" si="218">+K291-G291</f>
        <v>-502684</v>
      </c>
      <c r="N291" s="3187"/>
      <c r="O291" s="218"/>
    </row>
    <row r="292" spans="1:15" ht="14.25" customHeight="1" x14ac:dyDescent="0.2">
      <c r="A292" s="3131"/>
      <c r="B292" s="242" t="s">
        <v>17</v>
      </c>
      <c r="C292" s="3100" t="s">
        <v>38</v>
      </c>
      <c r="D292" s="812">
        <f t="shared" ref="D292" si="219">+D293</f>
        <v>2280890</v>
      </c>
      <c r="E292" s="813">
        <f>+E293</f>
        <v>57340</v>
      </c>
      <c r="F292" s="813">
        <f>+F293</f>
        <v>223550</v>
      </c>
      <c r="G292" s="813">
        <f>+G293</f>
        <v>2000000</v>
      </c>
      <c r="H292" s="813">
        <f>+H293</f>
        <v>0</v>
      </c>
      <c r="I292" s="812">
        <f>+I293</f>
        <v>1778206</v>
      </c>
      <c r="J292" s="144">
        <f t="shared" si="200"/>
        <v>77.961059060279098</v>
      </c>
      <c r="K292" s="813">
        <f>+K293</f>
        <v>1497316</v>
      </c>
      <c r="L292" s="294">
        <f t="shared" si="217"/>
        <v>74.865800000000007</v>
      </c>
      <c r="M292" s="778">
        <f t="shared" si="218"/>
        <v>-502684</v>
      </c>
      <c r="N292" s="3187"/>
      <c r="O292" s="218"/>
    </row>
    <row r="293" spans="1:15" ht="14.25" customHeight="1" x14ac:dyDescent="0.2">
      <c r="A293" s="3131"/>
      <c r="B293" s="912" t="s">
        <v>4</v>
      </c>
      <c r="C293" s="3101"/>
      <c r="D293" s="244">
        <f>+E293+F293+G293+H293</f>
        <v>2280890</v>
      </c>
      <c r="E293" s="779">
        <v>57340</v>
      </c>
      <c r="F293" s="779">
        <v>223550</v>
      </c>
      <c r="G293" s="779">
        <v>2000000</v>
      </c>
      <c r="H293" s="779">
        <v>0</v>
      </c>
      <c r="I293" s="274">
        <f>E293+F293+K293</f>
        <v>1778206</v>
      </c>
      <c r="J293" s="249">
        <f t="shared" si="200"/>
        <v>77.961059060279098</v>
      </c>
      <c r="K293" s="245">
        <v>1497316</v>
      </c>
      <c r="L293" s="276">
        <f t="shared" si="217"/>
        <v>74.865800000000007</v>
      </c>
      <c r="M293" s="247">
        <f t="shared" si="218"/>
        <v>-502684</v>
      </c>
      <c r="N293" s="3187"/>
      <c r="O293" s="218"/>
    </row>
    <row r="294" spans="1:15" ht="14.25" customHeight="1" x14ac:dyDescent="0.2">
      <c r="A294" s="3131"/>
      <c r="B294" s="253" t="s">
        <v>12</v>
      </c>
      <c r="C294" s="3101"/>
      <c r="D294" s="304">
        <f t="shared" ref="D294" si="220">+D295</f>
        <v>0</v>
      </c>
      <c r="E294" s="257">
        <v>0</v>
      </c>
      <c r="F294" s="257">
        <f>+F295</f>
        <v>0</v>
      </c>
      <c r="G294" s="257">
        <f>+G295</f>
        <v>0</v>
      </c>
      <c r="H294" s="816">
        <f>+H295</f>
        <v>0</v>
      </c>
      <c r="I294" s="304">
        <f>+I295</f>
        <v>0</v>
      </c>
      <c r="J294" s="257">
        <v>0</v>
      </c>
      <c r="K294" s="257">
        <f>+K295</f>
        <v>0</v>
      </c>
      <c r="L294" s="258">
        <v>0</v>
      </c>
      <c r="M294" s="778">
        <f t="shared" si="218"/>
        <v>0</v>
      </c>
      <c r="N294" s="3187"/>
      <c r="O294" s="218"/>
    </row>
    <row r="295" spans="1:15" ht="14.25" customHeight="1" x14ac:dyDescent="0.2">
      <c r="A295" s="3131"/>
      <c r="B295" s="912" t="s">
        <v>14</v>
      </c>
      <c r="C295" s="3101"/>
      <c r="D295" s="783">
        <f>+E295+F295+G295+H295</f>
        <v>0</v>
      </c>
      <c r="E295" s="250">
        <v>0</v>
      </c>
      <c r="F295" s="250">
        <f>163508-163508</f>
        <v>0</v>
      </c>
      <c r="G295" s="250">
        <v>0</v>
      </c>
      <c r="H295" s="794">
        <v>0</v>
      </c>
      <c r="I295" s="305">
        <f>E295+F295+K295</f>
        <v>0</v>
      </c>
      <c r="J295" s="260">
        <v>0</v>
      </c>
      <c r="K295" s="250">
        <v>0</v>
      </c>
      <c r="L295" s="251">
        <v>0</v>
      </c>
      <c r="M295" s="247">
        <f t="shared" si="218"/>
        <v>0</v>
      </c>
      <c r="N295" s="3187"/>
      <c r="O295" s="218"/>
    </row>
    <row r="296" spans="1:15" s="266" customFormat="1" ht="14.25" customHeight="1" x14ac:dyDescent="0.2">
      <c r="A296" s="3132"/>
      <c r="B296" s="220" t="s">
        <v>16</v>
      </c>
      <c r="C296" s="25"/>
      <c r="D296" s="299">
        <f>+D297</f>
        <v>0</v>
      </c>
      <c r="E296" s="287">
        <v>0</v>
      </c>
      <c r="F296" s="287">
        <f t="shared" ref="F296:H297" si="221">+F297</f>
        <v>0</v>
      </c>
      <c r="G296" s="287">
        <f t="shared" si="221"/>
        <v>0</v>
      </c>
      <c r="H296" s="809">
        <f t="shared" si="221"/>
        <v>0</v>
      </c>
      <c r="I296" s="299">
        <f>+I297</f>
        <v>0</v>
      </c>
      <c r="J296" s="287">
        <v>0</v>
      </c>
      <c r="K296" s="287">
        <f>+K297</f>
        <v>0</v>
      </c>
      <c r="L296" s="824">
        <v>0</v>
      </c>
      <c r="M296" s="241">
        <f t="shared" si="218"/>
        <v>0</v>
      </c>
      <c r="N296" s="3101"/>
      <c r="O296" s="218"/>
    </row>
    <row r="297" spans="1:15" s="293" customFormat="1" ht="14.25" customHeight="1" x14ac:dyDescent="0.2">
      <c r="A297" s="3132"/>
      <c r="B297" s="253" t="s">
        <v>12</v>
      </c>
      <c r="C297" s="3100" t="s">
        <v>34</v>
      </c>
      <c r="D297" s="301">
        <f>+D298</f>
        <v>0</v>
      </c>
      <c r="E297" s="284">
        <v>0</v>
      </c>
      <c r="F297" s="284">
        <f t="shared" si="221"/>
        <v>0</v>
      </c>
      <c r="G297" s="284">
        <f t="shared" si="221"/>
        <v>0</v>
      </c>
      <c r="H297" s="946">
        <f t="shared" si="221"/>
        <v>0</v>
      </c>
      <c r="I297" s="301">
        <f>+I298</f>
        <v>0</v>
      </c>
      <c r="J297" s="284">
        <v>0</v>
      </c>
      <c r="K297" s="284">
        <f>+K298</f>
        <v>0</v>
      </c>
      <c r="L297" s="934">
        <v>0</v>
      </c>
      <c r="M297" s="778">
        <f t="shared" si="218"/>
        <v>0</v>
      </c>
      <c r="N297" s="3101"/>
      <c r="O297" s="218"/>
    </row>
    <row r="298" spans="1:15" s="293" customFormat="1" ht="14.25" customHeight="1" thickBot="1" x14ac:dyDescent="0.25">
      <c r="A298" s="3181"/>
      <c r="B298" s="947" t="s">
        <v>14</v>
      </c>
      <c r="C298" s="3186"/>
      <c r="D298" s="948">
        <f>+E298+F298+G298+H298</f>
        <v>0</v>
      </c>
      <c r="E298" s="949">
        <v>0</v>
      </c>
      <c r="F298" s="949">
        <v>0</v>
      </c>
      <c r="G298" s="949">
        <v>0</v>
      </c>
      <c r="H298" s="950">
        <v>0</v>
      </c>
      <c r="I298" s="951">
        <f>E298+F298+K298</f>
        <v>0</v>
      </c>
      <c r="J298" s="952">
        <v>0</v>
      </c>
      <c r="K298" s="949">
        <v>0</v>
      </c>
      <c r="L298" s="953">
        <v>0</v>
      </c>
      <c r="M298" s="247">
        <f t="shared" si="218"/>
        <v>0</v>
      </c>
      <c r="N298" s="3186"/>
      <c r="O298" s="218"/>
    </row>
    <row r="299" spans="1:15" ht="39.75" customHeight="1" x14ac:dyDescent="0.2">
      <c r="A299" s="3130" t="s">
        <v>66</v>
      </c>
      <c r="B299" s="831" t="s">
        <v>72</v>
      </c>
      <c r="C299" s="236" t="s">
        <v>166</v>
      </c>
      <c r="D299" s="291"/>
      <c r="E299" s="292"/>
      <c r="F299" s="292"/>
      <c r="G299" s="292"/>
      <c r="H299" s="878"/>
      <c r="I299" s="291"/>
      <c r="J299" s="292"/>
      <c r="K299" s="292"/>
      <c r="L299" s="879"/>
      <c r="M299" s="879"/>
      <c r="N299" s="3127" t="s">
        <v>278</v>
      </c>
      <c r="O299" s="218"/>
    </row>
    <row r="300" spans="1:15" ht="14.25" customHeight="1" x14ac:dyDescent="0.2">
      <c r="A300" s="3131"/>
      <c r="B300" s="220" t="s">
        <v>2</v>
      </c>
      <c r="C300" s="25"/>
      <c r="D300" s="954">
        <f t="shared" ref="D300:H304" si="222">+D301</f>
        <v>46900000</v>
      </c>
      <c r="E300" s="955">
        <f t="shared" si="222"/>
        <v>0</v>
      </c>
      <c r="F300" s="808">
        <f t="shared" si="222"/>
        <v>26800000</v>
      </c>
      <c r="G300" s="808">
        <f t="shared" si="222"/>
        <v>20100000</v>
      </c>
      <c r="H300" s="956">
        <f t="shared" si="222"/>
        <v>0</v>
      </c>
      <c r="I300" s="807">
        <f>+I301</f>
        <v>33500000</v>
      </c>
      <c r="J300" s="743">
        <f t="shared" ref="J300:J348" si="223">I300/D300*100</f>
        <v>71.428571428571431</v>
      </c>
      <c r="K300" s="808">
        <f>+K301</f>
        <v>6700000</v>
      </c>
      <c r="L300" s="771">
        <f t="shared" si="217"/>
        <v>33.333333333333329</v>
      </c>
      <c r="M300" s="241">
        <f t="shared" ref="M300:M305" si="224">+K300-G300</f>
        <v>-13400000</v>
      </c>
      <c r="N300" s="3187"/>
      <c r="O300" s="218"/>
    </row>
    <row r="301" spans="1:15" ht="14.25" customHeight="1" x14ac:dyDescent="0.2">
      <c r="A301" s="3131"/>
      <c r="B301" s="253" t="s">
        <v>12</v>
      </c>
      <c r="C301" s="3188" t="s">
        <v>33</v>
      </c>
      <c r="D301" s="254">
        <f t="shared" si="222"/>
        <v>46900000</v>
      </c>
      <c r="E301" s="257">
        <f t="shared" si="222"/>
        <v>0</v>
      </c>
      <c r="F301" s="813">
        <f t="shared" si="222"/>
        <v>26800000</v>
      </c>
      <c r="G301" s="813">
        <f t="shared" si="222"/>
        <v>20100000</v>
      </c>
      <c r="H301" s="957">
        <f t="shared" si="222"/>
        <v>0</v>
      </c>
      <c r="I301" s="812">
        <f>+I302</f>
        <v>33500000</v>
      </c>
      <c r="J301" s="883">
        <f t="shared" si="223"/>
        <v>71.428571428571431</v>
      </c>
      <c r="K301" s="813">
        <f>+K302</f>
        <v>6700000</v>
      </c>
      <c r="L301" s="885">
        <f t="shared" si="217"/>
        <v>33.333333333333329</v>
      </c>
      <c r="M301" s="778">
        <f t="shared" si="224"/>
        <v>-13400000</v>
      </c>
      <c r="N301" s="3187"/>
      <c r="O301" s="218"/>
    </row>
    <row r="302" spans="1:15" ht="14.25" customHeight="1" x14ac:dyDescent="0.2">
      <c r="A302" s="3131"/>
      <c r="B302" s="243" t="s">
        <v>14</v>
      </c>
      <c r="C302" s="3188"/>
      <c r="D302" s="244">
        <f>+E302+F302+G302+H302</f>
        <v>46900000</v>
      </c>
      <c r="E302" s="250">
        <v>0</v>
      </c>
      <c r="F302" s="245">
        <v>26800000</v>
      </c>
      <c r="G302" s="245">
        <v>20100000</v>
      </c>
      <c r="H302" s="913">
        <v>0</v>
      </c>
      <c r="I302" s="274">
        <f>E302+F302+K302</f>
        <v>33500000</v>
      </c>
      <c r="J302" s="780">
        <f t="shared" si="223"/>
        <v>71.428571428571431</v>
      </c>
      <c r="K302" s="245">
        <v>6700000</v>
      </c>
      <c r="L302" s="781">
        <f t="shared" si="217"/>
        <v>33.333333333333329</v>
      </c>
      <c r="M302" s="247">
        <f t="shared" si="224"/>
        <v>-13400000</v>
      </c>
      <c r="N302" s="3187"/>
      <c r="O302" s="218"/>
    </row>
    <row r="303" spans="1:15" ht="14.25" customHeight="1" x14ac:dyDescent="0.2">
      <c r="A303" s="3132"/>
      <c r="B303" s="220" t="s">
        <v>16</v>
      </c>
      <c r="C303" s="25"/>
      <c r="D303" s="770">
        <f t="shared" ref="D303:F303" si="225">+D304</f>
        <v>46900000</v>
      </c>
      <c r="E303" s="824">
        <f t="shared" si="225"/>
        <v>0</v>
      </c>
      <c r="F303" s="808">
        <f t="shared" si="225"/>
        <v>26800000</v>
      </c>
      <c r="G303" s="808">
        <f t="shared" si="222"/>
        <v>20100000</v>
      </c>
      <c r="H303" s="956">
        <f t="shared" si="222"/>
        <v>0</v>
      </c>
      <c r="I303" s="807">
        <f>+I304+I315</f>
        <v>40200000</v>
      </c>
      <c r="J303" s="743">
        <f t="shared" si="223"/>
        <v>85.714285714285708</v>
      </c>
      <c r="K303" s="808">
        <f>+K304+K315</f>
        <v>13400000</v>
      </c>
      <c r="L303" s="771">
        <f t="shared" si="217"/>
        <v>66.666666666666657</v>
      </c>
      <c r="M303" s="241">
        <f t="shared" si="224"/>
        <v>-6700000</v>
      </c>
      <c r="N303" s="3101"/>
      <c r="O303" s="218"/>
    </row>
    <row r="304" spans="1:15" ht="14.25" customHeight="1" x14ac:dyDescent="0.2">
      <c r="A304" s="3132"/>
      <c r="B304" s="253" t="s">
        <v>12</v>
      </c>
      <c r="C304" s="3157" t="s">
        <v>34</v>
      </c>
      <c r="D304" s="254">
        <f t="shared" ref="D304:F304" si="226">+D305</f>
        <v>46900000</v>
      </c>
      <c r="E304" s="257">
        <f t="shared" si="226"/>
        <v>0</v>
      </c>
      <c r="F304" s="813">
        <f t="shared" si="226"/>
        <v>26800000</v>
      </c>
      <c r="G304" s="813">
        <f t="shared" si="222"/>
        <v>20100000</v>
      </c>
      <c r="H304" s="957">
        <f t="shared" si="222"/>
        <v>0</v>
      </c>
      <c r="I304" s="812">
        <f>+I305</f>
        <v>40200000</v>
      </c>
      <c r="J304" s="883">
        <f t="shared" si="223"/>
        <v>85.714285714285708</v>
      </c>
      <c r="K304" s="813">
        <f>+K305</f>
        <v>13400000</v>
      </c>
      <c r="L304" s="885">
        <f t="shared" si="217"/>
        <v>66.666666666666657</v>
      </c>
      <c r="M304" s="778">
        <f t="shared" si="224"/>
        <v>-6700000</v>
      </c>
      <c r="N304" s="3101"/>
      <c r="O304" s="218"/>
    </row>
    <row r="305" spans="1:18" ht="14.25" customHeight="1" thickBot="1" x14ac:dyDescent="0.25">
      <c r="A305" s="3133"/>
      <c r="B305" s="828" t="s">
        <v>14</v>
      </c>
      <c r="C305" s="3159"/>
      <c r="D305" s="262">
        <f>+E305+F305+G305+H305</f>
        <v>46900000</v>
      </c>
      <c r="E305" s="818">
        <v>0</v>
      </c>
      <c r="F305" s="799">
        <v>26800000</v>
      </c>
      <c r="G305" s="799">
        <v>20100000</v>
      </c>
      <c r="H305" s="958">
        <v>0</v>
      </c>
      <c r="I305" s="845">
        <f>E305+F305+K305</f>
        <v>40200000</v>
      </c>
      <c r="J305" s="801">
        <f t="shared" si="223"/>
        <v>85.714285714285708</v>
      </c>
      <c r="K305" s="799">
        <v>13400000</v>
      </c>
      <c r="L305" s="901">
        <f t="shared" si="217"/>
        <v>66.666666666666657</v>
      </c>
      <c r="M305" s="247">
        <f t="shared" si="224"/>
        <v>-6700000</v>
      </c>
      <c r="N305" s="3104"/>
      <c r="O305" s="218"/>
    </row>
    <row r="306" spans="1:18" ht="26.25" customHeight="1" thickBot="1" x14ac:dyDescent="0.25">
      <c r="A306" s="3176" t="s">
        <v>60</v>
      </c>
      <c r="B306" s="929" t="s">
        <v>366</v>
      </c>
      <c r="C306" s="236" t="s">
        <v>166</v>
      </c>
      <c r="D306" s="291"/>
      <c r="E306" s="292"/>
      <c r="F306" s="292"/>
      <c r="G306" s="292"/>
      <c r="H306" s="878"/>
      <c r="I306" s="291"/>
      <c r="J306" s="292"/>
      <c r="K306" s="292"/>
      <c r="L306" s="879"/>
      <c r="M306" s="879"/>
      <c r="N306" s="3118" t="s">
        <v>37</v>
      </c>
      <c r="O306" s="218"/>
    </row>
    <row r="307" spans="1:18" ht="13.5" customHeight="1" thickBot="1" x14ac:dyDescent="0.25">
      <c r="A307" s="3176"/>
      <c r="B307" s="220" t="s">
        <v>2</v>
      </c>
      <c r="C307" s="25"/>
      <c r="D307" s="807">
        <f t="shared" ref="D307:E307" si="227">+D308+D310</f>
        <v>10903182</v>
      </c>
      <c r="E307" s="808">
        <f t="shared" si="227"/>
        <v>1316895</v>
      </c>
      <c r="F307" s="808">
        <f>+F308+F310</f>
        <v>438710</v>
      </c>
      <c r="G307" s="808">
        <f t="shared" ref="G307:I307" si="228">+G308+G310</f>
        <v>559146</v>
      </c>
      <c r="H307" s="808">
        <f t="shared" si="228"/>
        <v>8588431</v>
      </c>
      <c r="I307" s="807">
        <f t="shared" si="228"/>
        <v>1757197</v>
      </c>
      <c r="J307" s="267">
        <f t="shared" ref="J307:J314" si="229">I307/D307*100</f>
        <v>16.116368597717621</v>
      </c>
      <c r="K307" s="808">
        <f>+K308+K310</f>
        <v>1592</v>
      </c>
      <c r="L307" s="271">
        <f t="shared" ref="L307:L311" si="230">K307/G307*100</f>
        <v>0.28471991215174569</v>
      </c>
      <c r="M307" s="241">
        <f t="shared" ref="M307:M314" si="231">+K307-G307</f>
        <v>-557554</v>
      </c>
      <c r="N307" s="3118"/>
      <c r="O307" s="218"/>
    </row>
    <row r="308" spans="1:18" ht="13.5" customHeight="1" thickBot="1" x14ac:dyDescent="0.25">
      <c r="A308" s="3176"/>
      <c r="B308" s="242" t="s">
        <v>17</v>
      </c>
      <c r="C308" s="3100" t="s">
        <v>38</v>
      </c>
      <c r="D308" s="812">
        <f t="shared" ref="D308:I308" si="232">+D309</f>
        <v>7153182</v>
      </c>
      <c r="E308" s="813">
        <f t="shared" si="232"/>
        <v>1316895</v>
      </c>
      <c r="F308" s="813">
        <f>+F309</f>
        <v>438710</v>
      </c>
      <c r="G308" s="813">
        <f t="shared" si="232"/>
        <v>559146</v>
      </c>
      <c r="H308" s="813">
        <f t="shared" si="232"/>
        <v>4838431</v>
      </c>
      <c r="I308" s="812">
        <f t="shared" si="232"/>
        <v>1757197</v>
      </c>
      <c r="J308" s="144">
        <f t="shared" si="229"/>
        <v>24.565249423263662</v>
      </c>
      <c r="K308" s="813">
        <f>+K309</f>
        <v>1592</v>
      </c>
      <c r="L308" s="294">
        <f t="shared" si="230"/>
        <v>0.28471991215174569</v>
      </c>
      <c r="M308" s="778">
        <f t="shared" si="231"/>
        <v>-557554</v>
      </c>
      <c r="N308" s="3118"/>
      <c r="O308" s="218"/>
    </row>
    <row r="309" spans="1:18" ht="13.5" customHeight="1" thickBot="1" x14ac:dyDescent="0.25">
      <c r="A309" s="3176"/>
      <c r="B309" s="243" t="s">
        <v>4</v>
      </c>
      <c r="C309" s="3101"/>
      <c r="D309" s="244">
        <f>+E309+F309+G309+H309</f>
        <v>7153182</v>
      </c>
      <c r="E309" s="779">
        <f>901733+415162</f>
        <v>1316895</v>
      </c>
      <c r="F309" s="245">
        <v>438710</v>
      </c>
      <c r="G309" s="245">
        <v>559146</v>
      </c>
      <c r="H309" s="245">
        <f>1368555+3469876</f>
        <v>4838431</v>
      </c>
      <c r="I309" s="274">
        <f>E309+F309+K309</f>
        <v>1757197</v>
      </c>
      <c r="J309" s="249">
        <f t="shared" si="229"/>
        <v>24.565249423263662</v>
      </c>
      <c r="K309" s="245">
        <v>1592</v>
      </c>
      <c r="L309" s="276">
        <f t="shared" si="230"/>
        <v>0.28471991215174569</v>
      </c>
      <c r="M309" s="247">
        <f t="shared" si="231"/>
        <v>-557554</v>
      </c>
      <c r="N309" s="3118"/>
      <c r="O309" s="218"/>
    </row>
    <row r="310" spans="1:18" ht="13.5" customHeight="1" thickBot="1" x14ac:dyDescent="0.25">
      <c r="A310" s="3176"/>
      <c r="B310" s="253" t="s">
        <v>12</v>
      </c>
      <c r="C310" s="3101"/>
      <c r="D310" s="812">
        <f t="shared" ref="D310:I310" si="233">+D311</f>
        <v>3750000</v>
      </c>
      <c r="E310" s="813">
        <f t="shared" si="233"/>
        <v>0</v>
      </c>
      <c r="F310" s="813">
        <f t="shared" si="233"/>
        <v>0</v>
      </c>
      <c r="G310" s="813">
        <f t="shared" si="233"/>
        <v>0</v>
      </c>
      <c r="H310" s="813">
        <f t="shared" si="233"/>
        <v>3750000</v>
      </c>
      <c r="I310" s="812">
        <f t="shared" si="233"/>
        <v>0</v>
      </c>
      <c r="J310" s="249">
        <f t="shared" si="229"/>
        <v>0</v>
      </c>
      <c r="K310" s="813">
        <f>+K311</f>
        <v>0</v>
      </c>
      <c r="L310" s="276" t="e">
        <f t="shared" si="230"/>
        <v>#DIV/0!</v>
      </c>
      <c r="M310" s="778">
        <f t="shared" si="231"/>
        <v>0</v>
      </c>
      <c r="N310" s="3118"/>
      <c r="O310" s="218"/>
    </row>
    <row r="311" spans="1:18" ht="13.5" customHeight="1" thickBot="1" x14ac:dyDescent="0.25">
      <c r="A311" s="3176"/>
      <c r="B311" s="243" t="s">
        <v>14</v>
      </c>
      <c r="C311" s="3101"/>
      <c r="D311" s="244">
        <f>++E311+F311+G311+H311</f>
        <v>3750000</v>
      </c>
      <c r="E311" s="779">
        <v>0</v>
      </c>
      <c r="F311" s="245">
        <v>0</v>
      </c>
      <c r="G311" s="245">
        <v>0</v>
      </c>
      <c r="H311" s="245">
        <v>3750000</v>
      </c>
      <c r="I311" s="274">
        <f>E311+F311+K311</f>
        <v>0</v>
      </c>
      <c r="J311" s="249">
        <f t="shared" si="229"/>
        <v>0</v>
      </c>
      <c r="K311" s="245"/>
      <c r="L311" s="276" t="e">
        <f t="shared" si="230"/>
        <v>#DIV/0!</v>
      </c>
      <c r="M311" s="247">
        <f t="shared" si="231"/>
        <v>0</v>
      </c>
      <c r="N311" s="3118"/>
      <c r="O311" s="218"/>
    </row>
    <row r="312" spans="1:18" s="266" customFormat="1" ht="13.5" customHeight="1" thickBot="1" x14ac:dyDescent="0.25">
      <c r="A312" s="3177"/>
      <c r="B312" s="220" t="s">
        <v>16</v>
      </c>
      <c r="C312" s="25"/>
      <c r="D312" s="807">
        <f>+D313</f>
        <v>3750000</v>
      </c>
      <c r="E312" s="808">
        <v>0</v>
      </c>
      <c r="F312" s="808">
        <f t="shared" ref="F312:H313" si="234">+F313</f>
        <v>0</v>
      </c>
      <c r="G312" s="808">
        <f t="shared" si="234"/>
        <v>0</v>
      </c>
      <c r="H312" s="808">
        <f t="shared" si="234"/>
        <v>3750000</v>
      </c>
      <c r="I312" s="299">
        <f>+I313</f>
        <v>0</v>
      </c>
      <c r="J312" s="267">
        <f t="shared" si="229"/>
        <v>0</v>
      </c>
      <c r="K312" s="234">
        <f>+K313</f>
        <v>0</v>
      </c>
      <c r="L312" s="300">
        <v>0</v>
      </c>
      <c r="M312" s="241">
        <f t="shared" si="231"/>
        <v>0</v>
      </c>
      <c r="N312" s="3116"/>
      <c r="O312" s="218"/>
    </row>
    <row r="313" spans="1:18" s="293" customFormat="1" ht="13.5" customHeight="1" thickBot="1" x14ac:dyDescent="0.25">
      <c r="A313" s="3177"/>
      <c r="B313" s="253" t="s">
        <v>12</v>
      </c>
      <c r="C313" s="3122" t="s">
        <v>34</v>
      </c>
      <c r="D313" s="812">
        <f>+D314</f>
        <v>3750000</v>
      </c>
      <c r="E313" s="813">
        <v>0</v>
      </c>
      <c r="F313" s="813">
        <f t="shared" si="234"/>
        <v>0</v>
      </c>
      <c r="G313" s="813">
        <f t="shared" si="234"/>
        <v>0</v>
      </c>
      <c r="H313" s="813">
        <f t="shared" si="234"/>
        <v>3750000</v>
      </c>
      <c r="I313" s="301">
        <f>+I314</f>
        <v>0</v>
      </c>
      <c r="J313" s="144">
        <f t="shared" si="229"/>
        <v>0</v>
      </c>
      <c r="K313" s="278">
        <f>+K314</f>
        <v>0</v>
      </c>
      <c r="L313" s="302">
        <v>0</v>
      </c>
      <c r="M313" s="778">
        <f t="shared" si="231"/>
        <v>0</v>
      </c>
      <c r="N313" s="3116"/>
      <c r="O313" s="218"/>
    </row>
    <row r="314" spans="1:18" s="266" customFormat="1" ht="13.5" customHeight="1" thickBot="1" x14ac:dyDescent="0.25">
      <c r="A314" s="3177"/>
      <c r="B314" s="280" t="s">
        <v>14</v>
      </c>
      <c r="C314" s="3116"/>
      <c r="D314" s="262">
        <f>++E314+F314+G314+H314</f>
        <v>3750000</v>
      </c>
      <c r="E314" s="263">
        <v>0</v>
      </c>
      <c r="F314" s="799">
        <v>0</v>
      </c>
      <c r="G314" s="799">
        <v>0</v>
      </c>
      <c r="H314" s="799">
        <v>3750000</v>
      </c>
      <c r="I314" s="930">
        <f>E314+F314+K314</f>
        <v>0</v>
      </c>
      <c r="J314" s="270">
        <f t="shared" si="229"/>
        <v>0</v>
      </c>
      <c r="K314" s="283">
        <v>0</v>
      </c>
      <c r="L314" s="931">
        <v>0</v>
      </c>
      <c r="M314" s="263">
        <f t="shared" si="231"/>
        <v>0</v>
      </c>
      <c r="N314" s="3116"/>
      <c r="O314" s="218"/>
    </row>
    <row r="315" spans="1:18" ht="13.5" customHeight="1" x14ac:dyDescent="0.2">
      <c r="A315" s="3192" t="s">
        <v>73</v>
      </c>
      <c r="B315" s="959" t="s">
        <v>74</v>
      </c>
      <c r="C315" s="960"/>
      <c r="D315" s="705"/>
      <c r="E315" s="706"/>
      <c r="F315" s="706"/>
      <c r="G315" s="706"/>
      <c r="H315" s="707"/>
      <c r="I315" s="705"/>
      <c r="J315" s="706"/>
      <c r="K315" s="706"/>
      <c r="L315" s="711"/>
      <c r="M315" s="711"/>
      <c r="N315" s="3196"/>
      <c r="O315" s="218"/>
      <c r="P315" s="218"/>
      <c r="Q315" s="218"/>
      <c r="R315" s="218"/>
    </row>
    <row r="316" spans="1:18" s="252" customFormat="1" ht="15" customHeight="1" x14ac:dyDescent="0.2">
      <c r="A316" s="3193"/>
      <c r="B316" s="712" t="s">
        <v>2</v>
      </c>
      <c r="C316" s="306"/>
      <c r="D316" s="221">
        <f t="shared" ref="D316:I316" si="235">+D317+D319</f>
        <v>17754927</v>
      </c>
      <c r="E316" s="222">
        <f t="shared" si="235"/>
        <v>17692382</v>
      </c>
      <c r="F316" s="222">
        <f t="shared" si="235"/>
        <v>4742</v>
      </c>
      <c r="G316" s="222">
        <f>+G317+G319</f>
        <v>57803</v>
      </c>
      <c r="H316" s="223">
        <f>+H317+H319</f>
        <v>0</v>
      </c>
      <c r="I316" s="221">
        <f t="shared" si="235"/>
        <v>17697123</v>
      </c>
      <c r="J316" s="307">
        <f t="shared" si="223"/>
        <v>99.674434031747921</v>
      </c>
      <c r="K316" s="222">
        <f>+K317+K319</f>
        <v>0</v>
      </c>
      <c r="L316" s="224">
        <f t="shared" si="217"/>
        <v>0</v>
      </c>
      <c r="M316" s="308">
        <f t="shared" ref="M316:M323" si="236">+K316-G316</f>
        <v>-57803</v>
      </c>
      <c r="N316" s="3197"/>
      <c r="O316" s="218"/>
    </row>
    <row r="317" spans="1:18" s="313" customFormat="1" ht="15" customHeight="1" x14ac:dyDescent="0.2">
      <c r="A317" s="3193"/>
      <c r="B317" s="961" t="s">
        <v>3</v>
      </c>
      <c r="C317" s="3200"/>
      <c r="D317" s="309">
        <f t="shared" ref="D317:K317" si="237">+D318</f>
        <v>3040430</v>
      </c>
      <c r="E317" s="310">
        <f t="shared" si="237"/>
        <v>2977885</v>
      </c>
      <c r="F317" s="310">
        <f t="shared" si="237"/>
        <v>4742</v>
      </c>
      <c r="G317" s="310">
        <f t="shared" si="237"/>
        <v>57803</v>
      </c>
      <c r="H317" s="311">
        <f t="shared" si="237"/>
        <v>0</v>
      </c>
      <c r="I317" s="309">
        <f t="shared" si="237"/>
        <v>2982626</v>
      </c>
      <c r="J317" s="962">
        <f t="shared" si="223"/>
        <v>98.09882154826785</v>
      </c>
      <c r="K317" s="310">
        <f t="shared" si="237"/>
        <v>0</v>
      </c>
      <c r="L317" s="963">
        <f t="shared" si="217"/>
        <v>0</v>
      </c>
      <c r="M317" s="312">
        <f t="shared" si="236"/>
        <v>-57803</v>
      </c>
      <c r="N317" s="3197"/>
      <c r="O317" s="218"/>
    </row>
    <row r="318" spans="1:18" s="252" customFormat="1" ht="15" customHeight="1" x14ac:dyDescent="0.2">
      <c r="A318" s="3193"/>
      <c r="B318" s="752" t="s">
        <v>4</v>
      </c>
      <c r="C318" s="3201"/>
      <c r="D318" s="228">
        <f t="shared" ref="D318:I318" si="238">+D327+D345+D354+D363+D336</f>
        <v>3040430</v>
      </c>
      <c r="E318" s="229">
        <f t="shared" si="238"/>
        <v>2977885</v>
      </c>
      <c r="F318" s="229">
        <f t="shared" si="238"/>
        <v>4742</v>
      </c>
      <c r="G318" s="229">
        <f t="shared" si="238"/>
        <v>57803</v>
      </c>
      <c r="H318" s="230">
        <f t="shared" si="238"/>
        <v>0</v>
      </c>
      <c r="I318" s="228">
        <f t="shared" si="238"/>
        <v>2982626</v>
      </c>
      <c r="J318" s="725">
        <f t="shared" si="223"/>
        <v>98.09882154826785</v>
      </c>
      <c r="K318" s="229">
        <f>+K327+K345+K354+K363+K336</f>
        <v>0</v>
      </c>
      <c r="L318" s="964">
        <f t="shared" si="217"/>
        <v>0</v>
      </c>
      <c r="M318" s="314">
        <f t="shared" si="236"/>
        <v>-57803</v>
      </c>
      <c r="N318" s="3197"/>
      <c r="O318" s="218"/>
    </row>
    <row r="319" spans="1:18" s="313" customFormat="1" ht="15" customHeight="1" x14ac:dyDescent="0.2">
      <c r="A319" s="3193"/>
      <c r="B319" s="730" t="s">
        <v>75</v>
      </c>
      <c r="C319" s="3201"/>
      <c r="D319" s="225">
        <f t="shared" ref="D319:K319" si="239">+D320</f>
        <v>14714497</v>
      </c>
      <c r="E319" s="226">
        <f t="shared" si="239"/>
        <v>14714497</v>
      </c>
      <c r="F319" s="226">
        <f t="shared" si="239"/>
        <v>0</v>
      </c>
      <c r="G319" s="226">
        <f t="shared" si="239"/>
        <v>0</v>
      </c>
      <c r="H319" s="227">
        <f t="shared" si="239"/>
        <v>0</v>
      </c>
      <c r="I319" s="965">
        <f t="shared" si="239"/>
        <v>14714497</v>
      </c>
      <c r="J319" s="962">
        <f t="shared" si="223"/>
        <v>100</v>
      </c>
      <c r="K319" s="315">
        <f t="shared" si="239"/>
        <v>0</v>
      </c>
      <c r="L319" s="966">
        <v>0</v>
      </c>
      <c r="M319" s="312">
        <f t="shared" si="236"/>
        <v>0</v>
      </c>
      <c r="N319" s="3197"/>
      <c r="O319" s="218"/>
    </row>
    <row r="320" spans="1:18" s="252" customFormat="1" ht="15" customHeight="1" x14ac:dyDescent="0.2">
      <c r="A320" s="3193"/>
      <c r="B320" s="752" t="s">
        <v>13</v>
      </c>
      <c r="C320" s="3201"/>
      <c r="D320" s="228">
        <f t="shared" ref="D320:I320" si="240">+D329+D338+D347+D356+D365</f>
        <v>14714497</v>
      </c>
      <c r="E320" s="229">
        <f t="shared" si="240"/>
        <v>14714497</v>
      </c>
      <c r="F320" s="229">
        <f t="shared" si="240"/>
        <v>0</v>
      </c>
      <c r="G320" s="229">
        <f t="shared" si="240"/>
        <v>0</v>
      </c>
      <c r="H320" s="230">
        <f t="shared" si="240"/>
        <v>0</v>
      </c>
      <c r="I320" s="228">
        <f t="shared" si="240"/>
        <v>14714497</v>
      </c>
      <c r="J320" s="725">
        <f t="shared" si="223"/>
        <v>100</v>
      </c>
      <c r="K320" s="231">
        <f>+K329+K338+K347+K356+K365</f>
        <v>0</v>
      </c>
      <c r="L320" s="967">
        <v>0</v>
      </c>
      <c r="M320" s="314">
        <f t="shared" si="236"/>
        <v>0</v>
      </c>
      <c r="N320" s="3197"/>
      <c r="O320" s="218"/>
    </row>
    <row r="321" spans="1:15" s="252" customFormat="1" ht="15" customHeight="1" x14ac:dyDescent="0.2">
      <c r="A321" s="3194"/>
      <c r="B321" s="712" t="s">
        <v>16</v>
      </c>
      <c r="C321" s="306"/>
      <c r="D321" s="221">
        <f t="shared" ref="D321:K322" si="241">+D322</f>
        <v>14714497</v>
      </c>
      <c r="E321" s="222">
        <f t="shared" si="241"/>
        <v>2750633</v>
      </c>
      <c r="F321" s="222">
        <f t="shared" si="241"/>
        <v>8635187</v>
      </c>
      <c r="G321" s="222">
        <f t="shared" si="241"/>
        <v>3328677</v>
      </c>
      <c r="H321" s="223">
        <f t="shared" si="241"/>
        <v>0</v>
      </c>
      <c r="I321" s="968">
        <f t="shared" si="241"/>
        <v>14439930</v>
      </c>
      <c r="J321" s="307">
        <f t="shared" si="223"/>
        <v>98.13403747338424</v>
      </c>
      <c r="K321" s="222">
        <f t="shared" si="241"/>
        <v>0</v>
      </c>
      <c r="L321" s="224">
        <f t="shared" ref="L321:L386" si="242">K321/G321*100</f>
        <v>0</v>
      </c>
      <c r="M321" s="308">
        <f t="shared" si="236"/>
        <v>-3328677</v>
      </c>
      <c r="N321" s="3198"/>
      <c r="O321" s="218"/>
    </row>
    <row r="322" spans="1:15" s="252" customFormat="1" ht="15" customHeight="1" x14ac:dyDescent="0.2">
      <c r="A322" s="3194"/>
      <c r="B322" s="969" t="s">
        <v>12</v>
      </c>
      <c r="C322" s="3202"/>
      <c r="D322" s="309">
        <f t="shared" si="241"/>
        <v>14714497</v>
      </c>
      <c r="E322" s="310">
        <f t="shared" si="241"/>
        <v>2750633</v>
      </c>
      <c r="F322" s="310">
        <f t="shared" si="241"/>
        <v>8635187</v>
      </c>
      <c r="G322" s="310">
        <f t="shared" si="241"/>
        <v>3328677</v>
      </c>
      <c r="H322" s="311">
        <f t="shared" si="241"/>
        <v>0</v>
      </c>
      <c r="I322" s="970">
        <f t="shared" si="241"/>
        <v>14439930</v>
      </c>
      <c r="J322" s="962">
        <f t="shared" si="223"/>
        <v>98.13403747338424</v>
      </c>
      <c r="K322" s="310">
        <f t="shared" si="241"/>
        <v>0</v>
      </c>
      <c r="L322" s="963">
        <f t="shared" si="242"/>
        <v>0</v>
      </c>
      <c r="M322" s="312">
        <f t="shared" si="236"/>
        <v>-3328677</v>
      </c>
      <c r="N322" s="3198"/>
      <c r="O322" s="218"/>
    </row>
    <row r="323" spans="1:15" s="252" customFormat="1" ht="15" customHeight="1" thickBot="1" x14ac:dyDescent="0.25">
      <c r="A323" s="3195"/>
      <c r="B323" s="971" t="s">
        <v>13</v>
      </c>
      <c r="C323" s="3203"/>
      <c r="D323" s="972">
        <f t="shared" ref="D323:H323" si="243">+D332+D341+D350+D359+D368</f>
        <v>14714497</v>
      </c>
      <c r="E323" s="973">
        <f t="shared" si="243"/>
        <v>2750633</v>
      </c>
      <c r="F323" s="973">
        <f t="shared" si="243"/>
        <v>8635187</v>
      </c>
      <c r="G323" s="973">
        <f t="shared" si="243"/>
        <v>3328677</v>
      </c>
      <c r="H323" s="974">
        <f t="shared" si="243"/>
        <v>0</v>
      </c>
      <c r="I323" s="972">
        <f>+I332+I341+I350+I359+I368</f>
        <v>14439930</v>
      </c>
      <c r="J323" s="975">
        <f t="shared" si="223"/>
        <v>98.13403747338424</v>
      </c>
      <c r="K323" s="973">
        <f>+K332+K341+K350+K359+K368</f>
        <v>0</v>
      </c>
      <c r="L323" s="976">
        <f t="shared" si="242"/>
        <v>0</v>
      </c>
      <c r="M323" s="314">
        <f t="shared" si="236"/>
        <v>-3328677</v>
      </c>
      <c r="N323" s="3199"/>
      <c r="O323" s="218"/>
    </row>
    <row r="324" spans="1:15" ht="22.5" hidden="1" customHeight="1" x14ac:dyDescent="0.2">
      <c r="A324" s="3190" t="s">
        <v>71</v>
      </c>
      <c r="B324" s="316" t="s">
        <v>76</v>
      </c>
      <c r="C324" s="317"/>
      <c r="D324" s="318"/>
      <c r="E324" s="319"/>
      <c r="F324" s="319"/>
      <c r="G324" s="319"/>
      <c r="H324" s="320"/>
      <c r="I324" s="321"/>
      <c r="J324" s="322" t="e">
        <f t="shared" si="223"/>
        <v>#DIV/0!</v>
      </c>
      <c r="K324" s="319"/>
      <c r="L324" s="323" t="e">
        <f t="shared" si="242"/>
        <v>#DIV/0!</v>
      </c>
      <c r="M324" s="324">
        <f t="shared" ref="M324:M332" si="244">+K324-G324*0.5</f>
        <v>0</v>
      </c>
      <c r="N324" s="3204" t="s">
        <v>77</v>
      </c>
      <c r="O324" s="218"/>
    </row>
    <row r="325" spans="1:15" ht="13.5" hidden="1" customHeight="1" x14ac:dyDescent="0.2">
      <c r="A325" s="3131"/>
      <c r="B325" s="220" t="s">
        <v>2</v>
      </c>
      <c r="C325" s="25"/>
      <c r="D325" s="325"/>
      <c r="E325" s="326"/>
      <c r="F325" s="326"/>
      <c r="G325" s="326"/>
      <c r="H325" s="327"/>
      <c r="I325" s="325"/>
      <c r="J325" s="249" t="e">
        <f t="shared" si="223"/>
        <v>#DIV/0!</v>
      </c>
      <c r="K325" s="326"/>
      <c r="L325" s="276" t="e">
        <f t="shared" si="242"/>
        <v>#DIV/0!</v>
      </c>
      <c r="M325" s="328">
        <f t="shared" si="244"/>
        <v>0</v>
      </c>
      <c r="N325" s="3135"/>
      <c r="O325" s="218"/>
    </row>
    <row r="326" spans="1:15" ht="13.5" hidden="1" customHeight="1" x14ac:dyDescent="0.2">
      <c r="A326" s="3131"/>
      <c r="B326" s="242" t="s">
        <v>17</v>
      </c>
      <c r="C326" s="3100" t="s">
        <v>38</v>
      </c>
      <c r="D326" s="329"/>
      <c r="E326" s="330"/>
      <c r="F326" s="330"/>
      <c r="G326" s="330"/>
      <c r="H326" s="331"/>
      <c r="I326" s="329"/>
      <c r="J326" s="249" t="e">
        <f t="shared" si="223"/>
        <v>#DIV/0!</v>
      </c>
      <c r="K326" s="330"/>
      <c r="L326" s="276" t="e">
        <f t="shared" si="242"/>
        <v>#DIV/0!</v>
      </c>
      <c r="M326" s="332">
        <f t="shared" si="244"/>
        <v>0</v>
      </c>
      <c r="N326" s="3135"/>
      <c r="O326" s="218"/>
    </row>
    <row r="327" spans="1:15" ht="13.5" hidden="1" customHeight="1" x14ac:dyDescent="0.2">
      <c r="A327" s="3131"/>
      <c r="B327" s="290" t="s">
        <v>4</v>
      </c>
      <c r="C327" s="3101"/>
      <c r="D327" s="274"/>
      <c r="E327" s="245"/>
      <c r="F327" s="245"/>
      <c r="G327" s="245"/>
      <c r="H327" s="285"/>
      <c r="I327" s="274"/>
      <c r="J327" s="249" t="e">
        <f t="shared" si="223"/>
        <v>#DIV/0!</v>
      </c>
      <c r="K327" s="245"/>
      <c r="L327" s="276" t="e">
        <f t="shared" si="242"/>
        <v>#DIV/0!</v>
      </c>
      <c r="M327" s="281">
        <f t="shared" si="244"/>
        <v>0</v>
      </c>
      <c r="N327" s="3135"/>
      <c r="O327" s="218"/>
    </row>
    <row r="328" spans="1:15" ht="12.75" hidden="1" customHeight="1" x14ac:dyDescent="0.2">
      <c r="A328" s="3131"/>
      <c r="B328" s="253" t="s">
        <v>12</v>
      </c>
      <c r="C328" s="3101"/>
      <c r="D328" s="254"/>
      <c r="E328" s="255"/>
      <c r="F328" s="255"/>
      <c r="G328" s="255"/>
      <c r="H328" s="286"/>
      <c r="I328" s="254"/>
      <c r="J328" s="249" t="e">
        <f t="shared" si="223"/>
        <v>#DIV/0!</v>
      </c>
      <c r="K328" s="255"/>
      <c r="L328" s="276" t="e">
        <f t="shared" si="242"/>
        <v>#DIV/0!</v>
      </c>
      <c r="M328" s="259">
        <f t="shared" si="244"/>
        <v>0</v>
      </c>
      <c r="N328" s="3135"/>
      <c r="O328" s="218"/>
    </row>
    <row r="329" spans="1:15" ht="10.5" hidden="1" customHeight="1" x14ac:dyDescent="0.2">
      <c r="A329" s="3131"/>
      <c r="B329" s="243" t="s">
        <v>13</v>
      </c>
      <c r="C329" s="3101"/>
      <c r="D329" s="274"/>
      <c r="E329" s="245"/>
      <c r="F329" s="245"/>
      <c r="G329" s="245"/>
      <c r="H329" s="285"/>
      <c r="I329" s="274"/>
      <c r="J329" s="249" t="e">
        <f t="shared" si="223"/>
        <v>#DIV/0!</v>
      </c>
      <c r="K329" s="245"/>
      <c r="L329" s="276" t="e">
        <f t="shared" si="242"/>
        <v>#DIV/0!</v>
      </c>
      <c r="M329" s="281">
        <f t="shared" si="244"/>
        <v>0</v>
      </c>
      <c r="N329" s="3135"/>
      <c r="O329" s="218"/>
    </row>
    <row r="330" spans="1:15" s="266" customFormat="1" ht="12.75" hidden="1" customHeight="1" x14ac:dyDescent="0.2">
      <c r="A330" s="3132"/>
      <c r="B330" s="220" t="s">
        <v>16</v>
      </c>
      <c r="C330" s="25"/>
      <c r="D330" s="233"/>
      <c r="E330" s="234"/>
      <c r="F330" s="234"/>
      <c r="G330" s="234"/>
      <c r="H330" s="235"/>
      <c r="I330" s="233"/>
      <c r="J330" s="249" t="e">
        <f t="shared" si="223"/>
        <v>#DIV/0!</v>
      </c>
      <c r="K330" s="234"/>
      <c r="L330" s="276" t="e">
        <f t="shared" si="242"/>
        <v>#DIV/0!</v>
      </c>
      <c r="M330" s="241">
        <f t="shared" si="244"/>
        <v>0</v>
      </c>
      <c r="N330" s="3101"/>
      <c r="O330" s="218"/>
    </row>
    <row r="331" spans="1:15" s="293" customFormat="1" ht="11.25" hidden="1" customHeight="1" x14ac:dyDescent="0.2">
      <c r="A331" s="3132"/>
      <c r="B331" s="253" t="s">
        <v>12</v>
      </c>
      <c r="C331" s="3100" t="s">
        <v>38</v>
      </c>
      <c r="D331" s="277"/>
      <c r="E331" s="278"/>
      <c r="F331" s="278"/>
      <c r="G331" s="278"/>
      <c r="H331" s="333"/>
      <c r="I331" s="277"/>
      <c r="J331" s="249" t="e">
        <f t="shared" si="223"/>
        <v>#DIV/0!</v>
      </c>
      <c r="K331" s="278"/>
      <c r="L331" s="276" t="e">
        <f t="shared" si="242"/>
        <v>#DIV/0!</v>
      </c>
      <c r="M331" s="288">
        <f t="shared" si="244"/>
        <v>0</v>
      </c>
      <c r="N331" s="3101"/>
      <c r="O331" s="218"/>
    </row>
    <row r="332" spans="1:15" s="266" customFormat="1" ht="12" hidden="1" customHeight="1" thickBot="1" x14ac:dyDescent="0.25">
      <c r="A332" s="3181"/>
      <c r="B332" s="296" t="s">
        <v>13</v>
      </c>
      <c r="C332" s="3186"/>
      <c r="D332" s="334"/>
      <c r="E332" s="297"/>
      <c r="F332" s="297"/>
      <c r="G332" s="297"/>
      <c r="H332" s="335"/>
      <c r="I332" s="334"/>
      <c r="J332" s="303" t="e">
        <f t="shared" si="223"/>
        <v>#DIV/0!</v>
      </c>
      <c r="K332" s="297"/>
      <c r="L332" s="336" t="e">
        <f t="shared" si="242"/>
        <v>#DIV/0!</v>
      </c>
      <c r="M332" s="337">
        <f t="shared" si="244"/>
        <v>0</v>
      </c>
      <c r="N332" s="3186"/>
      <c r="O332" s="218"/>
    </row>
    <row r="333" spans="1:15" ht="39" customHeight="1" x14ac:dyDescent="0.2">
      <c r="A333" s="3130" t="s">
        <v>67</v>
      </c>
      <c r="B333" s="831" t="s">
        <v>252</v>
      </c>
      <c r="C333" s="236" t="s">
        <v>166</v>
      </c>
      <c r="D333" s="291"/>
      <c r="E333" s="292"/>
      <c r="F333" s="292"/>
      <c r="G333" s="292"/>
      <c r="H333" s="878"/>
      <c r="I333" s="291"/>
      <c r="J333" s="292"/>
      <c r="K333" s="292"/>
      <c r="L333" s="879"/>
      <c r="M333" s="879"/>
      <c r="N333" s="3127" t="s">
        <v>77</v>
      </c>
      <c r="O333" s="218"/>
    </row>
    <row r="334" spans="1:15" ht="11.25" customHeight="1" x14ac:dyDescent="0.2">
      <c r="A334" s="3131"/>
      <c r="B334" s="220" t="s">
        <v>2</v>
      </c>
      <c r="C334" s="25"/>
      <c r="D334" s="977">
        <f>+D335+D337</f>
        <v>6202669</v>
      </c>
      <c r="E334" s="978">
        <f>+E335+E337</f>
        <v>6202669</v>
      </c>
      <c r="F334" s="978">
        <f>+F335+F337</f>
        <v>0</v>
      </c>
      <c r="G334" s="979">
        <f>+G335+G337</f>
        <v>0</v>
      </c>
      <c r="H334" s="980">
        <v>0</v>
      </c>
      <c r="I334" s="977">
        <f>+I335+I337</f>
        <v>6202669</v>
      </c>
      <c r="J334" s="267">
        <f t="shared" si="223"/>
        <v>100</v>
      </c>
      <c r="K334" s="979">
        <f>+K335+K337</f>
        <v>0</v>
      </c>
      <c r="L334" s="300">
        <v>0</v>
      </c>
      <c r="M334" s="241">
        <f t="shared" ref="M334:M341" si="245">+K334-G334</f>
        <v>0</v>
      </c>
      <c r="N334" s="3187"/>
      <c r="O334" s="218"/>
    </row>
    <row r="335" spans="1:15" ht="11.25" customHeight="1" x14ac:dyDescent="0.2">
      <c r="A335" s="3131"/>
      <c r="B335" s="242" t="s">
        <v>17</v>
      </c>
      <c r="C335" s="3100" t="s">
        <v>38</v>
      </c>
      <c r="D335" s="772">
        <f>+D336</f>
        <v>1102669</v>
      </c>
      <c r="E335" s="773">
        <f>+E336</f>
        <v>1102669</v>
      </c>
      <c r="F335" s="773">
        <f>+F336</f>
        <v>0</v>
      </c>
      <c r="G335" s="981">
        <f>+G336</f>
        <v>0</v>
      </c>
      <c r="H335" s="825">
        <v>0</v>
      </c>
      <c r="I335" s="772">
        <f>+I336</f>
        <v>1102669</v>
      </c>
      <c r="J335" s="144">
        <f t="shared" si="223"/>
        <v>100</v>
      </c>
      <c r="K335" s="981">
        <f>+K336</f>
        <v>0</v>
      </c>
      <c r="L335" s="302">
        <v>0</v>
      </c>
      <c r="M335" s="778">
        <f t="shared" si="245"/>
        <v>0</v>
      </c>
      <c r="N335" s="3187"/>
      <c r="O335" s="218"/>
    </row>
    <row r="336" spans="1:15" ht="11.25" customHeight="1" x14ac:dyDescent="0.2">
      <c r="A336" s="3131"/>
      <c r="B336" s="290" t="s">
        <v>4</v>
      </c>
      <c r="C336" s="3178"/>
      <c r="D336" s="244">
        <f>+E336+F336+G336+H336</f>
        <v>1102669</v>
      </c>
      <c r="E336" s="779">
        <f>1098+62542+1039029</f>
        <v>1102669</v>
      </c>
      <c r="F336" s="245">
        <v>0</v>
      </c>
      <c r="G336" s="260">
        <v>0</v>
      </c>
      <c r="H336" s="815">
        <v>0</v>
      </c>
      <c r="I336" s="274">
        <f>E336+F336+K336</f>
        <v>1102669</v>
      </c>
      <c r="J336" s="249">
        <f t="shared" si="223"/>
        <v>100</v>
      </c>
      <c r="K336" s="260">
        <v>0</v>
      </c>
      <c r="L336" s="251">
        <v>0</v>
      </c>
      <c r="M336" s="247">
        <f t="shared" si="245"/>
        <v>0</v>
      </c>
      <c r="N336" s="3187"/>
      <c r="O336" s="218"/>
    </row>
    <row r="337" spans="1:18" ht="11.25" customHeight="1" x14ac:dyDescent="0.2">
      <c r="A337" s="3131"/>
      <c r="B337" s="253" t="s">
        <v>12</v>
      </c>
      <c r="C337" s="3178"/>
      <c r="D337" s="254">
        <f>+D338</f>
        <v>5100000</v>
      </c>
      <c r="E337" s="255">
        <f>+E338</f>
        <v>5100000</v>
      </c>
      <c r="F337" s="255">
        <f>+F338</f>
        <v>0</v>
      </c>
      <c r="G337" s="257">
        <f>+G338</f>
        <v>0</v>
      </c>
      <c r="H337" s="816">
        <v>0</v>
      </c>
      <c r="I337" s="254">
        <f>+I338</f>
        <v>5100000</v>
      </c>
      <c r="J337" s="26">
        <f t="shared" si="223"/>
        <v>100</v>
      </c>
      <c r="K337" s="257">
        <f>+K338</f>
        <v>0</v>
      </c>
      <c r="L337" s="258">
        <v>0</v>
      </c>
      <c r="M337" s="778">
        <f t="shared" si="245"/>
        <v>0</v>
      </c>
      <c r="N337" s="3187"/>
      <c r="O337" s="218"/>
    </row>
    <row r="338" spans="1:18" ht="11.25" customHeight="1" x14ac:dyDescent="0.2">
      <c r="A338" s="3131"/>
      <c r="B338" s="243" t="s">
        <v>13</v>
      </c>
      <c r="C338" s="3178"/>
      <c r="D338" s="244">
        <f>+E338+F338+G338+H338</f>
        <v>5100000</v>
      </c>
      <c r="E338" s="779">
        <f>6222+354402+4739376</f>
        <v>5100000</v>
      </c>
      <c r="F338" s="245">
        <v>0</v>
      </c>
      <c r="G338" s="260">
        <v>0</v>
      </c>
      <c r="H338" s="815">
        <v>0</v>
      </c>
      <c r="I338" s="274">
        <f>E338+F338+K338</f>
        <v>5100000</v>
      </c>
      <c r="J338" s="249">
        <f t="shared" si="223"/>
        <v>100</v>
      </c>
      <c r="K338" s="260">
        <v>0</v>
      </c>
      <c r="L338" s="251">
        <v>0</v>
      </c>
      <c r="M338" s="247">
        <f t="shared" si="245"/>
        <v>0</v>
      </c>
      <c r="N338" s="3187"/>
      <c r="O338" s="218"/>
    </row>
    <row r="339" spans="1:18" s="266" customFormat="1" ht="11.25" customHeight="1" x14ac:dyDescent="0.2">
      <c r="A339" s="3132"/>
      <c r="B339" s="220" t="s">
        <v>16</v>
      </c>
      <c r="C339" s="25"/>
      <c r="D339" s="977">
        <f>+D340</f>
        <v>5100000</v>
      </c>
      <c r="E339" s="978">
        <f t="shared" ref="E339:F340" si="246">+E340</f>
        <v>529894</v>
      </c>
      <c r="F339" s="978">
        <f t="shared" si="246"/>
        <v>4570106</v>
      </c>
      <c r="G339" s="978">
        <f>G340</f>
        <v>0</v>
      </c>
      <c r="H339" s="982">
        <f>H340</f>
        <v>0</v>
      </c>
      <c r="I339" s="977">
        <f>+I340</f>
        <v>5086264</v>
      </c>
      <c r="J339" s="267">
        <f t="shared" si="223"/>
        <v>99.730666666666664</v>
      </c>
      <c r="K339" s="978">
        <f>+K340</f>
        <v>0</v>
      </c>
      <c r="L339" s="300">
        <v>0</v>
      </c>
      <c r="M339" s="241">
        <f t="shared" si="245"/>
        <v>0</v>
      </c>
      <c r="N339" s="3187"/>
      <c r="O339" s="218"/>
    </row>
    <row r="340" spans="1:18" s="293" customFormat="1" ht="12" customHeight="1" x14ac:dyDescent="0.2">
      <c r="A340" s="3132"/>
      <c r="B340" s="253" t="s">
        <v>12</v>
      </c>
      <c r="C340" s="3188" t="s">
        <v>38</v>
      </c>
      <c r="D340" s="772">
        <f>+D341</f>
        <v>5100000</v>
      </c>
      <c r="E340" s="773">
        <f t="shared" si="246"/>
        <v>529894</v>
      </c>
      <c r="F340" s="773">
        <f t="shared" si="246"/>
        <v>4570106</v>
      </c>
      <c r="G340" s="773">
        <f>G341</f>
        <v>0</v>
      </c>
      <c r="H340" s="825">
        <f>H341</f>
        <v>0</v>
      </c>
      <c r="I340" s="774">
        <f>+I341</f>
        <v>5086264</v>
      </c>
      <c r="J340" s="144">
        <f t="shared" si="223"/>
        <v>99.730666666666664</v>
      </c>
      <c r="K340" s="773">
        <f>+K341</f>
        <v>0</v>
      </c>
      <c r="L340" s="302">
        <v>0</v>
      </c>
      <c r="M340" s="778">
        <f t="shared" si="245"/>
        <v>0</v>
      </c>
      <c r="N340" s="3101"/>
      <c r="O340" s="218"/>
    </row>
    <row r="341" spans="1:18" s="266" customFormat="1" ht="13.5" customHeight="1" thickBot="1" x14ac:dyDescent="0.25">
      <c r="A341" s="3133"/>
      <c r="B341" s="280" t="s">
        <v>13</v>
      </c>
      <c r="C341" s="3189"/>
      <c r="D341" s="262">
        <f>+E341+F341+G341+H341</f>
        <v>5100000</v>
      </c>
      <c r="E341" s="263">
        <v>529894</v>
      </c>
      <c r="F341" s="799">
        <v>4570106</v>
      </c>
      <c r="G341" s="799">
        <v>0</v>
      </c>
      <c r="H341" s="829">
        <v>0</v>
      </c>
      <c r="I341" s="264">
        <f>E341+F341+K341-13736</f>
        <v>5086264</v>
      </c>
      <c r="J341" s="270">
        <f>I341/D341*100</f>
        <v>99.730666666666664</v>
      </c>
      <c r="K341" s="799"/>
      <c r="L341" s="830">
        <v>0</v>
      </c>
      <c r="M341" s="263">
        <f t="shared" si="245"/>
        <v>0</v>
      </c>
      <c r="N341" s="3104"/>
      <c r="O341" s="218"/>
      <c r="P341" s="338"/>
      <c r="R341" s="339"/>
    </row>
    <row r="342" spans="1:18" ht="39.75" customHeight="1" x14ac:dyDescent="0.2">
      <c r="A342" s="3190" t="s">
        <v>68</v>
      </c>
      <c r="B342" s="856" t="s">
        <v>261</v>
      </c>
      <c r="C342" s="857" t="s">
        <v>166</v>
      </c>
      <c r="D342" s="939"/>
      <c r="E342" s="940"/>
      <c r="F342" s="940"/>
      <c r="G342" s="940"/>
      <c r="H342" s="941"/>
      <c r="I342" s="939"/>
      <c r="J342" s="940"/>
      <c r="K342" s="940"/>
      <c r="L342" s="942"/>
      <c r="M342" s="942"/>
      <c r="N342" s="3191" t="s">
        <v>77</v>
      </c>
      <c r="O342" s="218"/>
    </row>
    <row r="343" spans="1:18" x14ac:dyDescent="0.2">
      <c r="A343" s="3131"/>
      <c r="B343" s="220" t="s">
        <v>2</v>
      </c>
      <c r="C343" s="25"/>
      <c r="D343" s="977">
        <f>+D344+D346</f>
        <v>5542000</v>
      </c>
      <c r="E343" s="978">
        <f>+E344+E346</f>
        <v>5537258</v>
      </c>
      <c r="F343" s="978">
        <f>+F344+F346</f>
        <v>4742</v>
      </c>
      <c r="G343" s="978">
        <f>+G344+G346</f>
        <v>0</v>
      </c>
      <c r="H343" s="980">
        <v>0</v>
      </c>
      <c r="I343" s="977">
        <f>+I344+I346</f>
        <v>5541999</v>
      </c>
      <c r="J343" s="267">
        <f t="shared" si="223"/>
        <v>99.999981955972572</v>
      </c>
      <c r="K343" s="978">
        <f>+K344+K346</f>
        <v>0</v>
      </c>
      <c r="L343" s="300">
        <v>0</v>
      </c>
      <c r="M343" s="241">
        <f t="shared" ref="M343:M350" si="247">+K343-G343</f>
        <v>0</v>
      </c>
      <c r="N343" s="3187"/>
      <c r="O343" s="218"/>
    </row>
    <row r="344" spans="1:18" x14ac:dyDescent="0.2">
      <c r="A344" s="3131"/>
      <c r="B344" s="242" t="s">
        <v>17</v>
      </c>
      <c r="C344" s="3100" t="s">
        <v>38</v>
      </c>
      <c r="D344" s="772">
        <f>+D345</f>
        <v>835331</v>
      </c>
      <c r="E344" s="773">
        <f>+E345</f>
        <v>830589</v>
      </c>
      <c r="F344" s="773">
        <f>+F345</f>
        <v>4742</v>
      </c>
      <c r="G344" s="773">
        <f>+G345</f>
        <v>0</v>
      </c>
      <c r="H344" s="825">
        <v>0</v>
      </c>
      <c r="I344" s="772">
        <f>+I345</f>
        <v>835330</v>
      </c>
      <c r="J344" s="144">
        <f t="shared" si="223"/>
        <v>99.999880286976065</v>
      </c>
      <c r="K344" s="773">
        <f>+K345</f>
        <v>0</v>
      </c>
      <c r="L344" s="302">
        <v>0</v>
      </c>
      <c r="M344" s="778">
        <f t="shared" si="247"/>
        <v>0</v>
      </c>
      <c r="N344" s="3187"/>
      <c r="O344" s="218"/>
    </row>
    <row r="345" spans="1:18" x14ac:dyDescent="0.2">
      <c r="A345" s="3131"/>
      <c r="B345" s="290" t="s">
        <v>4</v>
      </c>
      <c r="C345" s="3178"/>
      <c r="D345" s="244">
        <f>+E345+F345+G345+H345</f>
        <v>835331</v>
      </c>
      <c r="E345" s="245">
        <f>91878+738711</f>
        <v>830589</v>
      </c>
      <c r="F345" s="245">
        <v>4742</v>
      </c>
      <c r="G345" s="245">
        <v>0</v>
      </c>
      <c r="H345" s="815">
        <v>0</v>
      </c>
      <c r="I345" s="274">
        <f>E345+F345+K345-1</f>
        <v>835330</v>
      </c>
      <c r="J345" s="249">
        <f t="shared" si="223"/>
        <v>99.999880286976065</v>
      </c>
      <c r="K345" s="245">
        <v>0</v>
      </c>
      <c r="L345" s="251">
        <v>0</v>
      </c>
      <c r="M345" s="247">
        <f t="shared" si="247"/>
        <v>0</v>
      </c>
      <c r="N345" s="3187"/>
      <c r="O345" s="218"/>
    </row>
    <row r="346" spans="1:18" ht="12.75" customHeight="1" x14ac:dyDescent="0.2">
      <c r="A346" s="3131"/>
      <c r="B346" s="253" t="s">
        <v>12</v>
      </c>
      <c r="C346" s="3178"/>
      <c r="D346" s="254">
        <f>+D347</f>
        <v>4706669</v>
      </c>
      <c r="E346" s="255">
        <f>+E347</f>
        <v>4706669</v>
      </c>
      <c r="F346" s="255">
        <f>+F347</f>
        <v>0</v>
      </c>
      <c r="G346" s="257">
        <f>+G347</f>
        <v>0</v>
      </c>
      <c r="H346" s="816">
        <v>0</v>
      </c>
      <c r="I346" s="254">
        <f>+I347</f>
        <v>4706669</v>
      </c>
      <c r="J346" s="26">
        <f t="shared" si="223"/>
        <v>100</v>
      </c>
      <c r="K346" s="257">
        <f>+K347</f>
        <v>0</v>
      </c>
      <c r="L346" s="258">
        <v>0</v>
      </c>
      <c r="M346" s="778">
        <f t="shared" si="247"/>
        <v>0</v>
      </c>
      <c r="N346" s="3187"/>
      <c r="O346" s="218"/>
    </row>
    <row r="347" spans="1:18" x14ac:dyDescent="0.2">
      <c r="A347" s="3131"/>
      <c r="B347" s="243" t="s">
        <v>13</v>
      </c>
      <c r="C347" s="3178"/>
      <c r="D347" s="244">
        <f>+E347+F347+G347+H347</f>
        <v>4706669</v>
      </c>
      <c r="E347" s="245">
        <f>520639+4186030</f>
        <v>4706669</v>
      </c>
      <c r="F347" s="245">
        <v>0</v>
      </c>
      <c r="G347" s="260">
        <v>0</v>
      </c>
      <c r="H347" s="815">
        <v>0</v>
      </c>
      <c r="I347" s="274">
        <f>E347+F347+K347</f>
        <v>4706669</v>
      </c>
      <c r="J347" s="249">
        <f t="shared" si="223"/>
        <v>100</v>
      </c>
      <c r="K347" s="260">
        <v>0</v>
      </c>
      <c r="L347" s="251">
        <v>0</v>
      </c>
      <c r="M347" s="247">
        <f t="shared" si="247"/>
        <v>0</v>
      </c>
      <c r="N347" s="3187"/>
      <c r="O347" s="218"/>
    </row>
    <row r="348" spans="1:18" s="266" customFormat="1" ht="11.25" customHeight="1" x14ac:dyDescent="0.2">
      <c r="A348" s="3132"/>
      <c r="B348" s="220" t="s">
        <v>16</v>
      </c>
      <c r="C348" s="25"/>
      <c r="D348" s="977">
        <f>+D349+D351</f>
        <v>4706669</v>
      </c>
      <c r="E348" s="978">
        <f t="shared" ref="E348:G349" si="248">+E349</f>
        <v>1377992</v>
      </c>
      <c r="F348" s="978">
        <f t="shared" si="248"/>
        <v>0</v>
      </c>
      <c r="G348" s="978">
        <f t="shared" si="248"/>
        <v>3328677</v>
      </c>
      <c r="H348" s="978">
        <f>H349</f>
        <v>0</v>
      </c>
      <c r="I348" s="977">
        <f>+I349</f>
        <v>4445838</v>
      </c>
      <c r="J348" s="267">
        <f t="shared" si="223"/>
        <v>94.458267619838992</v>
      </c>
      <c r="K348" s="978">
        <f>+K349</f>
        <v>0</v>
      </c>
      <c r="L348" s="300">
        <v>0</v>
      </c>
      <c r="M348" s="241">
        <f t="shared" si="247"/>
        <v>-3328677</v>
      </c>
      <c r="N348" s="3187"/>
      <c r="O348" s="218"/>
    </row>
    <row r="349" spans="1:18" s="293" customFormat="1" ht="12.75" customHeight="1" x14ac:dyDescent="0.2">
      <c r="A349" s="3132"/>
      <c r="B349" s="253" t="s">
        <v>12</v>
      </c>
      <c r="C349" s="3100" t="s">
        <v>38</v>
      </c>
      <c r="D349" s="772">
        <f>+D350</f>
        <v>4706669</v>
      </c>
      <c r="E349" s="773">
        <f t="shared" si="248"/>
        <v>1377992</v>
      </c>
      <c r="F349" s="773">
        <f t="shared" si="248"/>
        <v>0</v>
      </c>
      <c r="G349" s="773">
        <f t="shared" si="248"/>
        <v>3328677</v>
      </c>
      <c r="H349" s="773">
        <f>H350</f>
        <v>0</v>
      </c>
      <c r="I349" s="772">
        <f>+I350</f>
        <v>4445838</v>
      </c>
      <c r="J349" s="144">
        <f t="shared" ref="J349:J400" si="249">I349/D349*100</f>
        <v>94.458267619838992</v>
      </c>
      <c r="K349" s="773">
        <f>+K350</f>
        <v>0</v>
      </c>
      <c r="L349" s="302">
        <v>0</v>
      </c>
      <c r="M349" s="778">
        <f t="shared" si="247"/>
        <v>-3328677</v>
      </c>
      <c r="N349" s="3101"/>
      <c r="O349" s="218"/>
    </row>
    <row r="350" spans="1:18" s="266" customFormat="1" ht="14.25" customHeight="1" thickBot="1" x14ac:dyDescent="0.25">
      <c r="A350" s="3133"/>
      <c r="B350" s="280" t="s">
        <v>13</v>
      </c>
      <c r="C350" s="3104"/>
      <c r="D350" s="262">
        <f>+E350+F350+G350+H350</f>
        <v>4706669</v>
      </c>
      <c r="E350" s="799">
        <v>1377992</v>
      </c>
      <c r="F350" s="799">
        <v>0</v>
      </c>
      <c r="G350" s="799">
        <v>3328677</v>
      </c>
      <c r="H350" s="799">
        <v>0</v>
      </c>
      <c r="I350" s="845">
        <f>E350+F350+K350+3067846</f>
        <v>4445838</v>
      </c>
      <c r="J350" s="270">
        <f t="shared" si="249"/>
        <v>94.458267619838992</v>
      </c>
      <c r="K350" s="799">
        <v>0</v>
      </c>
      <c r="L350" s="830">
        <v>0</v>
      </c>
      <c r="M350" s="247">
        <f t="shared" si="247"/>
        <v>-3328677</v>
      </c>
      <c r="N350" s="3104"/>
      <c r="O350" s="218"/>
    </row>
    <row r="351" spans="1:18" ht="39" thickBot="1" x14ac:dyDescent="0.25">
      <c r="A351" s="3130" t="s">
        <v>69</v>
      </c>
      <c r="B351" s="831" t="s">
        <v>253</v>
      </c>
      <c r="C351" s="236" t="s">
        <v>166</v>
      </c>
      <c r="D351" s="291"/>
      <c r="E351" s="292"/>
      <c r="F351" s="292"/>
      <c r="G351" s="292"/>
      <c r="H351" s="878"/>
      <c r="I351" s="291"/>
      <c r="J351" s="292"/>
      <c r="K351" s="292"/>
      <c r="L351" s="879"/>
      <c r="M351" s="879"/>
      <c r="N351" s="3118" t="s">
        <v>77</v>
      </c>
      <c r="O351" s="218"/>
    </row>
    <row r="352" spans="1:18" ht="13.5" thickBot="1" x14ac:dyDescent="0.25">
      <c r="A352" s="3131"/>
      <c r="B352" s="220" t="s">
        <v>2</v>
      </c>
      <c r="C352" s="25"/>
      <c r="D352" s="977">
        <f t="shared" ref="D352:I352" si="250">+D353+D355</f>
        <v>6010258</v>
      </c>
      <c r="E352" s="978">
        <f t="shared" si="250"/>
        <v>5952455</v>
      </c>
      <c r="F352" s="978">
        <f t="shared" si="250"/>
        <v>0</v>
      </c>
      <c r="G352" s="978">
        <f t="shared" si="250"/>
        <v>57803</v>
      </c>
      <c r="H352" s="978">
        <f>+H353+H355</f>
        <v>0</v>
      </c>
      <c r="I352" s="977">
        <f t="shared" si="250"/>
        <v>5952455</v>
      </c>
      <c r="J352" s="267">
        <f t="shared" si="249"/>
        <v>99.038260919913924</v>
      </c>
      <c r="K352" s="978">
        <f>+K353+K355</f>
        <v>0</v>
      </c>
      <c r="L352" s="300">
        <v>0</v>
      </c>
      <c r="M352" s="241">
        <f t="shared" ref="M352:M359" si="251">+K352-G352</f>
        <v>-57803</v>
      </c>
      <c r="N352" s="3118"/>
      <c r="O352" s="218"/>
    </row>
    <row r="353" spans="1:15" ht="14.25" customHeight="1" thickBot="1" x14ac:dyDescent="0.25">
      <c r="A353" s="3131"/>
      <c r="B353" s="242" t="s">
        <v>17</v>
      </c>
      <c r="C353" s="3100" t="s">
        <v>38</v>
      </c>
      <c r="D353" s="772">
        <f t="shared" ref="D353:I353" si="252">+D354</f>
        <v>1102430</v>
      </c>
      <c r="E353" s="773">
        <f t="shared" si="252"/>
        <v>1044627</v>
      </c>
      <c r="F353" s="773">
        <f t="shared" si="252"/>
        <v>0</v>
      </c>
      <c r="G353" s="773">
        <f t="shared" si="252"/>
        <v>57803</v>
      </c>
      <c r="H353" s="773">
        <f t="shared" si="252"/>
        <v>0</v>
      </c>
      <c r="I353" s="772">
        <f t="shared" si="252"/>
        <v>1044627</v>
      </c>
      <c r="J353" s="144">
        <f t="shared" si="249"/>
        <v>94.756764601834135</v>
      </c>
      <c r="K353" s="773">
        <f>+K354</f>
        <v>0</v>
      </c>
      <c r="L353" s="302">
        <v>0</v>
      </c>
      <c r="M353" s="778">
        <f t="shared" si="251"/>
        <v>-57803</v>
      </c>
      <c r="N353" s="3118"/>
      <c r="O353" s="218"/>
    </row>
    <row r="354" spans="1:15" ht="14.25" customHeight="1" thickBot="1" x14ac:dyDescent="0.25">
      <c r="A354" s="3131"/>
      <c r="B354" s="290" t="s">
        <v>4</v>
      </c>
      <c r="C354" s="3178"/>
      <c r="D354" s="244">
        <f>+E354+F354+G354+H354</f>
        <v>1102430</v>
      </c>
      <c r="E354" s="245">
        <f>146389+894877+3361</f>
        <v>1044627</v>
      </c>
      <c r="F354" s="245">
        <v>0</v>
      </c>
      <c r="G354" s="245">
        <v>57803</v>
      </c>
      <c r="H354" s="245">
        <v>0</v>
      </c>
      <c r="I354" s="274">
        <f>E354+F354+K354</f>
        <v>1044627</v>
      </c>
      <c r="J354" s="249">
        <f t="shared" si="249"/>
        <v>94.756764601834135</v>
      </c>
      <c r="K354" s="245">
        <v>0</v>
      </c>
      <c r="L354" s="251">
        <v>0</v>
      </c>
      <c r="M354" s="247">
        <f t="shared" si="251"/>
        <v>-57803</v>
      </c>
      <c r="N354" s="3118"/>
      <c r="O354" s="218"/>
    </row>
    <row r="355" spans="1:15" ht="14.25" customHeight="1" thickBot="1" x14ac:dyDescent="0.25">
      <c r="A355" s="3131"/>
      <c r="B355" s="253" t="s">
        <v>12</v>
      </c>
      <c r="C355" s="3178"/>
      <c r="D355" s="254">
        <f>+D356</f>
        <v>4907828</v>
      </c>
      <c r="E355" s="255">
        <f>+E356</f>
        <v>4907828</v>
      </c>
      <c r="F355" s="257">
        <f>+F356</f>
        <v>0</v>
      </c>
      <c r="G355" s="257">
        <f>+G356</f>
        <v>0</v>
      </c>
      <c r="H355" s="816">
        <v>0</v>
      </c>
      <c r="I355" s="254">
        <f>+I356</f>
        <v>4907828</v>
      </c>
      <c r="J355" s="26">
        <f t="shared" si="249"/>
        <v>100</v>
      </c>
      <c r="K355" s="257">
        <f>+K356</f>
        <v>0</v>
      </c>
      <c r="L355" s="258">
        <v>0</v>
      </c>
      <c r="M355" s="778">
        <f t="shared" si="251"/>
        <v>0</v>
      </c>
      <c r="N355" s="3118"/>
      <c r="O355" s="218"/>
    </row>
    <row r="356" spans="1:15" ht="14.25" customHeight="1" thickBot="1" x14ac:dyDescent="0.25">
      <c r="A356" s="3131"/>
      <c r="B356" s="290" t="s">
        <v>79</v>
      </c>
      <c r="C356" s="3178"/>
      <c r="D356" s="244">
        <f>+E356+F356+G356+H356</f>
        <v>4907828</v>
      </c>
      <c r="E356" s="245">
        <f>829536+4078292</f>
        <v>4907828</v>
      </c>
      <c r="F356" s="260">
        <v>0</v>
      </c>
      <c r="G356" s="260">
        <v>0</v>
      </c>
      <c r="H356" s="815">
        <v>0</v>
      </c>
      <c r="I356" s="274">
        <f>E356+F356+K356</f>
        <v>4907828</v>
      </c>
      <c r="J356" s="249">
        <f t="shared" si="249"/>
        <v>100</v>
      </c>
      <c r="K356" s="260">
        <v>0</v>
      </c>
      <c r="L356" s="251">
        <v>0</v>
      </c>
      <c r="M356" s="247">
        <f t="shared" si="251"/>
        <v>0</v>
      </c>
      <c r="N356" s="3118"/>
      <c r="O356" s="218"/>
    </row>
    <row r="357" spans="1:15" s="266" customFormat="1" ht="14.25" customHeight="1" thickBot="1" x14ac:dyDescent="0.25">
      <c r="A357" s="3132"/>
      <c r="B357" s="220" t="s">
        <v>16</v>
      </c>
      <c r="C357" s="25"/>
      <c r="D357" s="233">
        <f>+D358</f>
        <v>4907828</v>
      </c>
      <c r="E357" s="234">
        <f t="shared" ref="E357:F358" si="253">+E358</f>
        <v>842747</v>
      </c>
      <c r="F357" s="234">
        <f t="shared" si="253"/>
        <v>4065081</v>
      </c>
      <c r="G357" s="234">
        <f>G358</f>
        <v>0</v>
      </c>
      <c r="H357" s="261">
        <f>H358</f>
        <v>0</v>
      </c>
      <c r="I357" s="233">
        <f>+I358</f>
        <v>4907828</v>
      </c>
      <c r="J357" s="267">
        <f t="shared" si="249"/>
        <v>100</v>
      </c>
      <c r="K357" s="234">
        <f>+K358</f>
        <v>0</v>
      </c>
      <c r="L357" s="300">
        <v>0</v>
      </c>
      <c r="M357" s="241">
        <f t="shared" si="251"/>
        <v>0</v>
      </c>
      <c r="N357" s="3118"/>
      <c r="O357" s="218"/>
    </row>
    <row r="358" spans="1:15" s="293" customFormat="1" ht="14.25" customHeight="1" thickBot="1" x14ac:dyDescent="0.25">
      <c r="A358" s="3132"/>
      <c r="B358" s="253" t="s">
        <v>12</v>
      </c>
      <c r="C358" s="3100" t="s">
        <v>38</v>
      </c>
      <c r="D358" s="277">
        <f>+D359</f>
        <v>4907828</v>
      </c>
      <c r="E358" s="278">
        <f t="shared" si="253"/>
        <v>842747</v>
      </c>
      <c r="F358" s="278">
        <f t="shared" si="253"/>
        <v>4065081</v>
      </c>
      <c r="G358" s="278">
        <f>G359</f>
        <v>0</v>
      </c>
      <c r="H358" s="282">
        <f>H359</f>
        <v>0</v>
      </c>
      <c r="I358" s="277">
        <f>+I359</f>
        <v>4907828</v>
      </c>
      <c r="J358" s="144">
        <f t="shared" si="249"/>
        <v>100</v>
      </c>
      <c r="K358" s="278">
        <f>+K359</f>
        <v>0</v>
      </c>
      <c r="L358" s="302">
        <v>0</v>
      </c>
      <c r="M358" s="778">
        <f t="shared" si="251"/>
        <v>0</v>
      </c>
      <c r="N358" s="3116"/>
      <c r="O358" s="218"/>
    </row>
    <row r="359" spans="1:15" s="266" customFormat="1" ht="14.25" customHeight="1" thickBot="1" x14ac:dyDescent="0.25">
      <c r="A359" s="3133"/>
      <c r="B359" s="280" t="s">
        <v>13</v>
      </c>
      <c r="C359" s="3104"/>
      <c r="D359" s="262">
        <f>+E359+F359+G359+H359</f>
        <v>4907828</v>
      </c>
      <c r="E359" s="843">
        <v>842747</v>
      </c>
      <c r="F359" s="843">
        <v>4065081</v>
      </c>
      <c r="G359" s="843">
        <v>0</v>
      </c>
      <c r="H359" s="844">
        <v>0</v>
      </c>
      <c r="I359" s="845">
        <f>E359+F359+K359</f>
        <v>4907828</v>
      </c>
      <c r="J359" s="270">
        <f t="shared" si="249"/>
        <v>100</v>
      </c>
      <c r="K359" s="843">
        <v>0</v>
      </c>
      <c r="L359" s="830">
        <v>0</v>
      </c>
      <c r="M359" s="263">
        <f t="shared" si="251"/>
        <v>0</v>
      </c>
      <c r="N359" s="3116"/>
      <c r="O359" s="218"/>
    </row>
    <row r="360" spans="1:15" ht="39" hidden="1" customHeight="1" thickBot="1" x14ac:dyDescent="0.25">
      <c r="A360" s="3179"/>
      <c r="B360" s="340" t="s">
        <v>80</v>
      </c>
      <c r="C360" s="341"/>
      <c r="D360" s="3182" t="s">
        <v>81</v>
      </c>
      <c r="E360" s="3183"/>
      <c r="F360" s="3183"/>
      <c r="G360" s="3183"/>
      <c r="H360" s="3184"/>
      <c r="I360" s="342"/>
      <c r="J360" s="249" t="e">
        <f t="shared" si="249"/>
        <v>#VALUE!</v>
      </c>
      <c r="K360" s="343"/>
      <c r="L360" s="276" t="e">
        <f t="shared" si="242"/>
        <v>#DIV/0!</v>
      </c>
      <c r="M360" s="435">
        <f t="shared" ref="M360:M411" si="254">+K360-G360*0.5</f>
        <v>0</v>
      </c>
      <c r="N360" s="3185" t="s">
        <v>77</v>
      </c>
      <c r="O360" s="218"/>
    </row>
    <row r="361" spans="1:15" ht="13.5" hidden="1" customHeight="1" thickBot="1" x14ac:dyDescent="0.25">
      <c r="A361" s="3180"/>
      <c r="B361" s="220" t="s">
        <v>2</v>
      </c>
      <c r="C361" s="25"/>
      <c r="D361" s="344">
        <f>+D362</f>
        <v>0</v>
      </c>
      <c r="E361" s="345">
        <f>+E362</f>
        <v>0</v>
      </c>
      <c r="F361" s="345">
        <v>0</v>
      </c>
      <c r="G361" s="345">
        <v>0</v>
      </c>
      <c r="H361" s="346">
        <v>0</v>
      </c>
      <c r="I361" s="344">
        <f>+I362+I364</f>
        <v>0</v>
      </c>
      <c r="J361" s="249" t="e">
        <f t="shared" si="249"/>
        <v>#DIV/0!</v>
      </c>
      <c r="K361" s="345">
        <v>0</v>
      </c>
      <c r="L361" s="276" t="e">
        <f t="shared" si="242"/>
        <v>#DIV/0!</v>
      </c>
      <c r="M361" s="436">
        <f t="shared" si="254"/>
        <v>0</v>
      </c>
      <c r="N361" s="3185"/>
      <c r="O361" s="218"/>
    </row>
    <row r="362" spans="1:15" ht="11.25" hidden="1" customHeight="1" x14ac:dyDescent="0.2">
      <c r="A362" s="3180"/>
      <c r="B362" s="242" t="s">
        <v>17</v>
      </c>
      <c r="C362" s="3100" t="s">
        <v>38</v>
      </c>
      <c r="D362" s="347">
        <f>+D363</f>
        <v>0</v>
      </c>
      <c r="E362" s="348">
        <f>+E363</f>
        <v>0</v>
      </c>
      <c r="F362" s="348">
        <v>0</v>
      </c>
      <c r="G362" s="348">
        <v>0</v>
      </c>
      <c r="H362" s="349">
        <v>0</v>
      </c>
      <c r="I362" s="347">
        <f>+I363</f>
        <v>0</v>
      </c>
      <c r="J362" s="249" t="e">
        <f t="shared" si="249"/>
        <v>#DIV/0!</v>
      </c>
      <c r="K362" s="348">
        <v>0</v>
      </c>
      <c r="L362" s="276" t="e">
        <f t="shared" si="242"/>
        <v>#DIV/0!</v>
      </c>
      <c r="M362" s="437">
        <f t="shared" si="254"/>
        <v>0</v>
      </c>
      <c r="N362" s="3185"/>
      <c r="O362" s="218"/>
    </row>
    <row r="363" spans="1:15" ht="13.5" hidden="1" customHeight="1" thickBot="1" x14ac:dyDescent="0.25">
      <c r="A363" s="3180"/>
      <c r="B363" s="290" t="s">
        <v>4</v>
      </c>
      <c r="C363" s="3137"/>
      <c r="D363" s="350">
        <v>0</v>
      </c>
      <c r="E363" s="260">
        <v>0</v>
      </c>
      <c r="F363" s="260">
        <v>0</v>
      </c>
      <c r="G363" s="260">
        <v>0</v>
      </c>
      <c r="H363" s="269">
        <v>0</v>
      </c>
      <c r="I363" s="305">
        <v>0</v>
      </c>
      <c r="J363" s="249" t="e">
        <f t="shared" si="249"/>
        <v>#DIV/0!</v>
      </c>
      <c r="K363" s="260">
        <v>0</v>
      </c>
      <c r="L363" s="276" t="e">
        <f t="shared" si="242"/>
        <v>#DIV/0!</v>
      </c>
      <c r="M363" s="438">
        <f t="shared" si="254"/>
        <v>0</v>
      </c>
      <c r="N363" s="3185"/>
      <c r="O363" s="218"/>
    </row>
    <row r="364" spans="1:15" ht="12.75" hidden="1" customHeight="1" x14ac:dyDescent="0.2">
      <c r="A364" s="3180"/>
      <c r="B364" s="351" t="s">
        <v>12</v>
      </c>
      <c r="C364" s="3137"/>
      <c r="D364" s="304">
        <f>+D365</f>
        <v>0</v>
      </c>
      <c r="E364" s="257">
        <f>+E365</f>
        <v>0</v>
      </c>
      <c r="F364" s="257">
        <v>0</v>
      </c>
      <c r="G364" s="257">
        <v>0</v>
      </c>
      <c r="H364" s="256">
        <v>0</v>
      </c>
      <c r="I364" s="304">
        <f>+I365</f>
        <v>0</v>
      </c>
      <c r="J364" s="249" t="e">
        <f t="shared" si="249"/>
        <v>#DIV/0!</v>
      </c>
      <c r="K364" s="257">
        <v>0</v>
      </c>
      <c r="L364" s="276" t="e">
        <f t="shared" si="242"/>
        <v>#DIV/0!</v>
      </c>
      <c r="M364" s="439">
        <f t="shared" si="254"/>
        <v>0</v>
      </c>
      <c r="N364" s="3185"/>
      <c r="O364" s="218"/>
    </row>
    <row r="365" spans="1:15" ht="13.5" hidden="1" customHeight="1" thickBot="1" x14ac:dyDescent="0.25">
      <c r="A365" s="3180"/>
      <c r="B365" s="243" t="s">
        <v>13</v>
      </c>
      <c r="C365" s="3137"/>
      <c r="D365" s="350">
        <v>0</v>
      </c>
      <c r="E365" s="260">
        <v>0</v>
      </c>
      <c r="F365" s="260">
        <v>0</v>
      </c>
      <c r="G365" s="260">
        <v>0</v>
      </c>
      <c r="H365" s="269">
        <v>0</v>
      </c>
      <c r="I365" s="305">
        <v>0</v>
      </c>
      <c r="J365" s="249" t="e">
        <f t="shared" si="249"/>
        <v>#DIV/0!</v>
      </c>
      <c r="K365" s="260">
        <v>0</v>
      </c>
      <c r="L365" s="276" t="e">
        <f t="shared" si="242"/>
        <v>#DIV/0!</v>
      </c>
      <c r="M365" s="438">
        <f t="shared" si="254"/>
        <v>0</v>
      </c>
      <c r="N365" s="3185"/>
      <c r="O365" s="218"/>
    </row>
    <row r="366" spans="1:15" s="266" customFormat="1" ht="12.75" hidden="1" customHeight="1" x14ac:dyDescent="0.2">
      <c r="A366" s="3132"/>
      <c r="B366" s="220" t="s">
        <v>16</v>
      </c>
      <c r="C366" s="25"/>
      <c r="D366" s="299">
        <f>+D367</f>
        <v>0</v>
      </c>
      <c r="E366" s="287">
        <f>+E367</f>
        <v>0</v>
      </c>
      <c r="F366" s="287">
        <v>0</v>
      </c>
      <c r="G366" s="287">
        <v>0</v>
      </c>
      <c r="H366" s="261">
        <v>0</v>
      </c>
      <c r="I366" s="299">
        <f>+I367</f>
        <v>0</v>
      </c>
      <c r="J366" s="249" t="e">
        <f t="shared" si="249"/>
        <v>#DIV/0!</v>
      </c>
      <c r="K366" s="287">
        <v>0</v>
      </c>
      <c r="L366" s="276" t="e">
        <f t="shared" si="242"/>
        <v>#DIV/0!</v>
      </c>
      <c r="M366" s="440">
        <f t="shared" si="254"/>
        <v>0</v>
      </c>
      <c r="N366" s="3116"/>
      <c r="O366" s="218"/>
    </row>
    <row r="367" spans="1:15" s="293" customFormat="1" ht="12.75" hidden="1" customHeight="1" x14ac:dyDescent="0.2">
      <c r="A367" s="3132"/>
      <c r="B367" s="351" t="s">
        <v>12</v>
      </c>
      <c r="C367" s="3100" t="s">
        <v>38</v>
      </c>
      <c r="D367" s="301">
        <f>+D368</f>
        <v>0</v>
      </c>
      <c r="E367" s="284">
        <f>+E368</f>
        <v>0</v>
      </c>
      <c r="F367" s="284">
        <v>0</v>
      </c>
      <c r="G367" s="284">
        <v>0</v>
      </c>
      <c r="H367" s="282">
        <v>0</v>
      </c>
      <c r="I367" s="301">
        <f>+I368</f>
        <v>0</v>
      </c>
      <c r="J367" s="249" t="e">
        <f t="shared" si="249"/>
        <v>#DIV/0!</v>
      </c>
      <c r="K367" s="284">
        <v>0</v>
      </c>
      <c r="L367" s="276" t="e">
        <f t="shared" si="242"/>
        <v>#DIV/0!</v>
      </c>
      <c r="M367" s="441">
        <f t="shared" si="254"/>
        <v>0</v>
      </c>
      <c r="N367" s="3116"/>
      <c r="O367" s="218"/>
    </row>
    <row r="368" spans="1:15" s="266" customFormat="1" ht="12.75" hidden="1" customHeight="1" thickBot="1" x14ac:dyDescent="0.25">
      <c r="A368" s="3181"/>
      <c r="B368" s="296" t="s">
        <v>13</v>
      </c>
      <c r="C368" s="3186"/>
      <c r="D368" s="352">
        <v>0</v>
      </c>
      <c r="E368" s="353">
        <v>0</v>
      </c>
      <c r="F368" s="353">
        <v>0</v>
      </c>
      <c r="G368" s="353">
        <v>0</v>
      </c>
      <c r="H368" s="298">
        <v>0</v>
      </c>
      <c r="I368" s="352">
        <v>0</v>
      </c>
      <c r="J368" s="303" t="e">
        <f t="shared" si="249"/>
        <v>#DIV/0!</v>
      </c>
      <c r="K368" s="353">
        <v>0</v>
      </c>
      <c r="L368" s="336" t="e">
        <f t="shared" si="242"/>
        <v>#DIV/0!</v>
      </c>
      <c r="M368" s="442">
        <f t="shared" si="254"/>
        <v>0</v>
      </c>
      <c r="N368" s="3116"/>
      <c r="O368" s="218"/>
    </row>
    <row r="369" spans="1:15" ht="30" customHeight="1" thickBot="1" x14ac:dyDescent="0.25">
      <c r="A369" s="983" t="s">
        <v>82</v>
      </c>
      <c r="B369" s="984" t="s">
        <v>83</v>
      </c>
      <c r="C369" s="960"/>
      <c r="D369" s="705"/>
      <c r="E369" s="706"/>
      <c r="F369" s="706"/>
      <c r="G369" s="706"/>
      <c r="H369" s="707"/>
      <c r="I369" s="705"/>
      <c r="J369" s="706"/>
      <c r="K369" s="706"/>
      <c r="L369" s="711"/>
      <c r="M369" s="706"/>
      <c r="N369" s="3143" t="s">
        <v>84</v>
      </c>
      <c r="O369" s="218"/>
    </row>
    <row r="370" spans="1:15" ht="13.5" customHeight="1" thickBot="1" x14ac:dyDescent="0.25">
      <c r="A370" s="985"/>
      <c r="B370" s="354" t="s">
        <v>2</v>
      </c>
      <c r="C370" s="306"/>
      <c r="D370" s="221">
        <f>+D371+D375</f>
        <v>208989772</v>
      </c>
      <c r="E370" s="222">
        <f>+E371+E375</f>
        <v>0</v>
      </c>
      <c r="F370" s="222">
        <f>+F371+F375</f>
        <v>52200000</v>
      </c>
      <c r="G370" s="222">
        <f>+G371+G375</f>
        <v>87094886</v>
      </c>
      <c r="H370" s="223">
        <f>+H371+H375</f>
        <v>69694886</v>
      </c>
      <c r="I370" s="221">
        <f t="shared" ref="I370" si="255">+I371+I375</f>
        <v>52200000</v>
      </c>
      <c r="J370" s="307">
        <f t="shared" si="249"/>
        <v>24.977298889057593</v>
      </c>
      <c r="K370" s="222">
        <f>+K371+K375</f>
        <v>0</v>
      </c>
      <c r="L370" s="224">
        <f t="shared" si="242"/>
        <v>0</v>
      </c>
      <c r="M370" s="308">
        <f t="shared" ref="M370:M384" si="256">+K370-G370</f>
        <v>-87094886</v>
      </c>
      <c r="N370" s="3143"/>
      <c r="O370" s="218"/>
    </row>
    <row r="371" spans="1:15" s="219" customFormat="1" ht="13.5" customHeight="1" thickBot="1" x14ac:dyDescent="0.25">
      <c r="A371" s="985"/>
      <c r="B371" s="355" t="s">
        <v>3</v>
      </c>
      <c r="C371" s="3144"/>
      <c r="D371" s="309">
        <f>+D372+D373+D374</f>
        <v>62721772</v>
      </c>
      <c r="E371" s="310">
        <f>+E372+E373+E374</f>
        <v>0</v>
      </c>
      <c r="F371" s="310">
        <f>+F372+F373+F374</f>
        <v>15660000</v>
      </c>
      <c r="G371" s="310">
        <f>+G372+G373+G374</f>
        <v>26140886</v>
      </c>
      <c r="H371" s="311">
        <f>+H372+H373+H374</f>
        <v>20920886</v>
      </c>
      <c r="I371" s="309">
        <f t="shared" ref="I371:K371" si="257">+I372+I373+I374</f>
        <v>15660000</v>
      </c>
      <c r="J371" s="986">
        <f t="shared" si="249"/>
        <v>24.967406851962025</v>
      </c>
      <c r="K371" s="310">
        <f t="shared" si="257"/>
        <v>0</v>
      </c>
      <c r="L371" s="987">
        <f t="shared" si="242"/>
        <v>0</v>
      </c>
      <c r="M371" s="312">
        <f t="shared" si="256"/>
        <v>-26140886</v>
      </c>
      <c r="N371" s="3143"/>
      <c r="O371" s="218"/>
    </row>
    <row r="372" spans="1:15" ht="12.75" customHeight="1" thickBot="1" x14ac:dyDescent="0.25">
      <c r="A372" s="985"/>
      <c r="B372" s="356" t="s">
        <v>4</v>
      </c>
      <c r="C372" s="3144"/>
      <c r="D372" s="723">
        <f>+D388+D404</f>
        <v>8645736</v>
      </c>
      <c r="E372" s="229">
        <f t="shared" ref="E372:I372" si="258">+E388+E404</f>
        <v>0</v>
      </c>
      <c r="F372" s="229">
        <f t="shared" si="258"/>
        <v>0</v>
      </c>
      <c r="G372" s="229">
        <f t="shared" si="258"/>
        <v>1268600</v>
      </c>
      <c r="H372" s="724">
        <f t="shared" si="258"/>
        <v>7377136</v>
      </c>
      <c r="I372" s="228">
        <f t="shared" si="258"/>
        <v>0</v>
      </c>
      <c r="J372" s="231">
        <f t="shared" si="249"/>
        <v>0</v>
      </c>
      <c r="K372" s="231">
        <f>+K388+K404</f>
        <v>0</v>
      </c>
      <c r="L372" s="967">
        <v>0</v>
      </c>
      <c r="M372" s="314">
        <f t="shared" si="256"/>
        <v>-1268600</v>
      </c>
      <c r="N372" s="3143"/>
      <c r="O372" s="218"/>
    </row>
    <row r="373" spans="1:15" ht="12.75" customHeight="1" thickBot="1" x14ac:dyDescent="0.25">
      <c r="A373" s="985"/>
      <c r="B373" s="988" t="s">
        <v>28</v>
      </c>
      <c r="C373" s="3144"/>
      <c r="D373" s="723">
        <f t="shared" ref="D373:K374" si="259">+D389</f>
        <v>14587500</v>
      </c>
      <c r="E373" s="229">
        <f t="shared" si="259"/>
        <v>0</v>
      </c>
      <c r="F373" s="229">
        <f t="shared" si="259"/>
        <v>0</v>
      </c>
      <c r="G373" s="229">
        <f t="shared" si="259"/>
        <v>7293750</v>
      </c>
      <c r="H373" s="989">
        <f t="shared" si="259"/>
        <v>7293750</v>
      </c>
      <c r="I373" s="228">
        <f t="shared" si="259"/>
        <v>0</v>
      </c>
      <c r="J373" s="231">
        <f t="shared" si="249"/>
        <v>0</v>
      </c>
      <c r="K373" s="231">
        <f t="shared" si="259"/>
        <v>0</v>
      </c>
      <c r="L373" s="967">
        <v>0</v>
      </c>
      <c r="M373" s="314">
        <f t="shared" si="256"/>
        <v>-7293750</v>
      </c>
      <c r="N373" s="3143"/>
      <c r="O373" s="218"/>
    </row>
    <row r="374" spans="1:15" ht="12.75" customHeight="1" thickBot="1" x14ac:dyDescent="0.25">
      <c r="A374" s="985"/>
      <c r="B374" s="988" t="s">
        <v>85</v>
      </c>
      <c r="C374" s="3144"/>
      <c r="D374" s="723">
        <f t="shared" si="259"/>
        <v>39488536</v>
      </c>
      <c r="E374" s="229">
        <f t="shared" si="259"/>
        <v>0</v>
      </c>
      <c r="F374" s="229">
        <f t="shared" si="259"/>
        <v>15660000</v>
      </c>
      <c r="G374" s="229">
        <f t="shared" si="259"/>
        <v>17578536</v>
      </c>
      <c r="H374" s="989">
        <f t="shared" si="259"/>
        <v>6250000</v>
      </c>
      <c r="I374" s="228">
        <f t="shared" si="259"/>
        <v>15660000</v>
      </c>
      <c r="J374" s="725">
        <f t="shared" si="249"/>
        <v>39.657079209013979</v>
      </c>
      <c r="K374" s="229">
        <f t="shared" si="259"/>
        <v>0</v>
      </c>
      <c r="L374" s="964">
        <f t="shared" si="242"/>
        <v>0</v>
      </c>
      <c r="M374" s="314">
        <f t="shared" si="256"/>
        <v>-17578536</v>
      </c>
      <c r="N374" s="3143"/>
      <c r="O374" s="218"/>
    </row>
    <row r="375" spans="1:15" s="219" customFormat="1" ht="12.75" customHeight="1" thickBot="1" x14ac:dyDescent="0.25">
      <c r="A375" s="985"/>
      <c r="B375" s="357" t="s">
        <v>12</v>
      </c>
      <c r="C375" s="3144"/>
      <c r="D375" s="990">
        <f>+D377+D376</f>
        <v>146268000</v>
      </c>
      <c r="E375" s="226">
        <f t="shared" ref="E375:F375" si="260">+E377</f>
        <v>0</v>
      </c>
      <c r="F375" s="226">
        <f t="shared" si="260"/>
        <v>36540000</v>
      </c>
      <c r="G375" s="226">
        <f>+G377+G376</f>
        <v>60954000</v>
      </c>
      <c r="H375" s="991">
        <f>+H377+H376</f>
        <v>48774000</v>
      </c>
      <c r="I375" s="225">
        <f>+I377+I376</f>
        <v>36540000</v>
      </c>
      <c r="J375" s="229">
        <f t="shared" si="249"/>
        <v>24.981540733448192</v>
      </c>
      <c r="K375" s="226">
        <f>+K377+K376</f>
        <v>0</v>
      </c>
      <c r="L375" s="992">
        <f t="shared" si="242"/>
        <v>0</v>
      </c>
      <c r="M375" s="358">
        <f>+K375-G375</f>
        <v>-60954000</v>
      </c>
      <c r="N375" s="3143"/>
      <c r="O375" s="218"/>
    </row>
    <row r="376" spans="1:15" s="219" customFormat="1" ht="12.75" customHeight="1" thickBot="1" x14ac:dyDescent="0.25">
      <c r="A376" s="985"/>
      <c r="B376" s="993" t="s">
        <v>337</v>
      </c>
      <c r="C376" s="3144"/>
      <c r="D376" s="994">
        <f>+D392</f>
        <v>0</v>
      </c>
      <c r="E376" s="995"/>
      <c r="F376" s="995"/>
      <c r="G376" s="995">
        <f>+G392</f>
        <v>0</v>
      </c>
      <c r="H376" s="996">
        <f>+H392</f>
        <v>0</v>
      </c>
      <c r="I376" s="997">
        <f>+I392</f>
        <v>1023120</v>
      </c>
      <c r="J376" s="998">
        <v>0</v>
      </c>
      <c r="K376" s="995">
        <f>+K392</f>
        <v>0</v>
      </c>
      <c r="L376" s="999">
        <v>0</v>
      </c>
      <c r="M376" s="1000">
        <f t="shared" si="256"/>
        <v>0</v>
      </c>
      <c r="N376" s="3143"/>
      <c r="O376" s="218"/>
    </row>
    <row r="377" spans="1:15" s="219" customFormat="1" ht="12.75" customHeight="1" thickBot="1" x14ac:dyDescent="0.25">
      <c r="A377" s="985"/>
      <c r="B377" s="988" t="s">
        <v>14</v>
      </c>
      <c r="C377" s="3145"/>
      <c r="D377" s="736">
        <f>+D393+D406</f>
        <v>146268000</v>
      </c>
      <c r="E377" s="737">
        <f t="shared" ref="E377:I377" si="261">+E393+E406</f>
        <v>0</v>
      </c>
      <c r="F377" s="737">
        <f t="shared" si="261"/>
        <v>36540000</v>
      </c>
      <c r="G377" s="737">
        <f t="shared" si="261"/>
        <v>60954000</v>
      </c>
      <c r="H377" s="738">
        <f t="shared" si="261"/>
        <v>48774000</v>
      </c>
      <c r="I377" s="739">
        <f t="shared" si="261"/>
        <v>35516880</v>
      </c>
      <c r="J377" s="229">
        <f t="shared" si="249"/>
        <v>24.282057592911642</v>
      </c>
      <c r="K377" s="737">
        <f>+K393+K406</f>
        <v>0</v>
      </c>
      <c r="L377" s="314">
        <f t="shared" si="242"/>
        <v>0</v>
      </c>
      <c r="M377" s="314">
        <f t="shared" si="256"/>
        <v>-60954000</v>
      </c>
      <c r="N377" s="3143"/>
      <c r="O377" s="218"/>
    </row>
    <row r="378" spans="1:15" ht="12.75" customHeight="1" thickBot="1" x14ac:dyDescent="0.25">
      <c r="A378" s="985"/>
      <c r="B378" s="354" t="s">
        <v>16</v>
      </c>
      <c r="C378" s="306"/>
      <c r="D378" s="1001">
        <f>+D379+D382</f>
        <v>200344036</v>
      </c>
      <c r="E378" s="222">
        <f>+E379+E382</f>
        <v>20738536</v>
      </c>
      <c r="F378" s="222">
        <f>+F379+F382</f>
        <v>42790000</v>
      </c>
      <c r="G378" s="222">
        <f>+G379+G382</f>
        <v>74551750</v>
      </c>
      <c r="H378" s="1002">
        <f>+H379+H382</f>
        <v>62263750</v>
      </c>
      <c r="I378" s="221">
        <f t="shared" ref="I378" si="262">+I379+I382</f>
        <v>69778536</v>
      </c>
      <c r="J378" s="307">
        <f t="shared" si="249"/>
        <v>34.829355239703766</v>
      </c>
      <c r="K378" s="222">
        <f>+K379+K382</f>
        <v>6250000</v>
      </c>
      <c r="L378" s="224">
        <f t="shared" si="242"/>
        <v>8.3834383498710618</v>
      </c>
      <c r="M378" s="308">
        <f t="shared" si="256"/>
        <v>-68301750</v>
      </c>
      <c r="N378" s="3143"/>
      <c r="O378" s="218"/>
    </row>
    <row r="379" spans="1:15" ht="12.75" customHeight="1" thickBot="1" x14ac:dyDescent="0.25">
      <c r="A379" s="985"/>
      <c r="B379" s="1003" t="s">
        <v>17</v>
      </c>
      <c r="C379" s="3146"/>
      <c r="D379" s="1004">
        <f>+D380+D381</f>
        <v>54076036</v>
      </c>
      <c r="E379" s="360">
        <f>+E380+E381</f>
        <v>20738536</v>
      </c>
      <c r="F379" s="360">
        <f>+F380+F381</f>
        <v>6250000</v>
      </c>
      <c r="G379" s="360">
        <f>+G380+G381</f>
        <v>13543750</v>
      </c>
      <c r="H379" s="1005">
        <f>+H380+H381</f>
        <v>13543750</v>
      </c>
      <c r="I379" s="359">
        <f t="shared" ref="I379" si="263">+I380+I381</f>
        <v>33238536</v>
      </c>
      <c r="J379" s="1006">
        <f t="shared" si="249"/>
        <v>61.466295347536203</v>
      </c>
      <c r="K379" s="360">
        <f>+K380+K381</f>
        <v>6250000</v>
      </c>
      <c r="L379" s="1007">
        <f t="shared" si="242"/>
        <v>46.146746654360868</v>
      </c>
      <c r="M379" s="312">
        <f t="shared" si="256"/>
        <v>-7293750</v>
      </c>
      <c r="N379" s="3143"/>
      <c r="O379" s="218"/>
    </row>
    <row r="380" spans="1:15" ht="12.75" customHeight="1" thickBot="1" x14ac:dyDescent="0.25">
      <c r="A380" s="1008"/>
      <c r="B380" s="1009" t="s">
        <v>86</v>
      </c>
      <c r="C380" s="3146"/>
      <c r="D380" s="736">
        <f t="shared" ref="D380:K381" si="264">+D396</f>
        <v>14587500</v>
      </c>
      <c r="E380" s="737">
        <f t="shared" si="264"/>
        <v>0</v>
      </c>
      <c r="F380" s="737">
        <f t="shared" si="264"/>
        <v>0</v>
      </c>
      <c r="G380" s="737">
        <f t="shared" si="264"/>
        <v>7293750</v>
      </c>
      <c r="H380" s="1010">
        <f t="shared" si="264"/>
        <v>7293750</v>
      </c>
      <c r="I380" s="739">
        <f t="shared" si="264"/>
        <v>0</v>
      </c>
      <c r="J380" s="725">
        <f t="shared" si="249"/>
        <v>0</v>
      </c>
      <c r="K380" s="737">
        <f t="shared" si="264"/>
        <v>0</v>
      </c>
      <c r="L380" s="967">
        <v>0</v>
      </c>
      <c r="M380" s="314">
        <f t="shared" si="256"/>
        <v>-7293750</v>
      </c>
      <c r="N380" s="3143"/>
      <c r="O380" s="218"/>
    </row>
    <row r="381" spans="1:15" ht="12.75" customHeight="1" thickBot="1" x14ac:dyDescent="0.25">
      <c r="A381" s="985"/>
      <c r="B381" s="1009" t="s">
        <v>85</v>
      </c>
      <c r="C381" s="3146"/>
      <c r="D381" s="736">
        <f t="shared" si="264"/>
        <v>39488536</v>
      </c>
      <c r="E381" s="737">
        <f t="shared" si="264"/>
        <v>20738536</v>
      </c>
      <c r="F381" s="737">
        <f t="shared" si="264"/>
        <v>6250000</v>
      </c>
      <c r="G381" s="737">
        <f t="shared" si="264"/>
        <v>6250000</v>
      </c>
      <c r="H381" s="1010">
        <f t="shared" si="264"/>
        <v>6250000</v>
      </c>
      <c r="I381" s="739">
        <f t="shared" si="264"/>
        <v>33238536</v>
      </c>
      <c r="J381" s="725">
        <f t="shared" si="249"/>
        <v>84.172621643912052</v>
      </c>
      <c r="K381" s="737">
        <f t="shared" si="264"/>
        <v>6250000</v>
      </c>
      <c r="L381" s="964">
        <f t="shared" si="242"/>
        <v>100</v>
      </c>
      <c r="M381" s="314">
        <f t="shared" si="256"/>
        <v>0</v>
      </c>
      <c r="N381" s="3143"/>
      <c r="O381" s="218"/>
    </row>
    <row r="382" spans="1:15" s="1016" customFormat="1" ht="12.75" customHeight="1" thickBot="1" x14ac:dyDescent="0.25">
      <c r="A382" s="985"/>
      <c r="B382" s="1011" t="s">
        <v>12</v>
      </c>
      <c r="C382" s="3146"/>
      <c r="D382" s="1012">
        <f>+D384+D383</f>
        <v>146268000</v>
      </c>
      <c r="E382" s="1013">
        <f t="shared" ref="E382:H382" si="265">+E384</f>
        <v>0</v>
      </c>
      <c r="F382" s="1013">
        <f t="shared" si="265"/>
        <v>36540000</v>
      </c>
      <c r="G382" s="1013">
        <f>+G384</f>
        <v>61008000</v>
      </c>
      <c r="H382" s="1014">
        <f t="shared" si="265"/>
        <v>48720000</v>
      </c>
      <c r="I382" s="1015">
        <f>+I384+I383</f>
        <v>36540000</v>
      </c>
      <c r="J382" s="725">
        <f t="shared" si="249"/>
        <v>24.981540733448192</v>
      </c>
      <c r="K382" s="1013">
        <f>+K384+K383</f>
        <v>0</v>
      </c>
      <c r="L382" s="992">
        <f t="shared" si="242"/>
        <v>0</v>
      </c>
      <c r="M382" s="312">
        <f>+K382-G382</f>
        <v>-61008000</v>
      </c>
      <c r="N382" s="3143"/>
      <c r="O382" s="218"/>
    </row>
    <row r="383" spans="1:15" s="1016" customFormat="1" ht="12.75" customHeight="1" thickBot="1" x14ac:dyDescent="0.25">
      <c r="A383" s="985"/>
      <c r="B383" s="993" t="s">
        <v>337</v>
      </c>
      <c r="C383" s="3146"/>
      <c r="D383" s="1017">
        <f>+D399</f>
        <v>0</v>
      </c>
      <c r="E383" s="363">
        <f t="shared" ref="E383:H383" si="266">+E399</f>
        <v>0</v>
      </c>
      <c r="F383" s="363">
        <f t="shared" si="266"/>
        <v>0</v>
      </c>
      <c r="G383" s="737">
        <f t="shared" si="266"/>
        <v>0</v>
      </c>
      <c r="H383" s="1018">
        <f t="shared" si="266"/>
        <v>0</v>
      </c>
      <c r="I383" s="362">
        <f>+I399</f>
        <v>1023120</v>
      </c>
      <c r="J383" s="231">
        <v>0</v>
      </c>
      <c r="K383" s="363">
        <f>+K399</f>
        <v>0</v>
      </c>
      <c r="L383" s="967">
        <v>0</v>
      </c>
      <c r="M383" s="314">
        <f t="shared" si="256"/>
        <v>0</v>
      </c>
      <c r="N383" s="3143"/>
      <c r="O383" s="218"/>
    </row>
    <row r="384" spans="1:15" ht="12.75" customHeight="1" thickBot="1" x14ac:dyDescent="0.25">
      <c r="A384" s="1019"/>
      <c r="B384" s="1020" t="s">
        <v>14</v>
      </c>
      <c r="C384" s="3147"/>
      <c r="D384" s="760">
        <f>+D400+D409</f>
        <v>146268000</v>
      </c>
      <c r="E384" s="761">
        <f t="shared" ref="E384:I384" si="267">+E400+E409</f>
        <v>0</v>
      </c>
      <c r="F384" s="761">
        <f t="shared" si="267"/>
        <v>36540000</v>
      </c>
      <c r="G384" s="761">
        <f>+G400+G409</f>
        <v>61008000</v>
      </c>
      <c r="H384" s="762">
        <f t="shared" si="267"/>
        <v>48720000</v>
      </c>
      <c r="I384" s="763">
        <f t="shared" si="267"/>
        <v>35516880</v>
      </c>
      <c r="J384" s="975">
        <f t="shared" si="249"/>
        <v>24.282057592911642</v>
      </c>
      <c r="K384" s="1021">
        <f>+K400+K409</f>
        <v>0</v>
      </c>
      <c r="L384" s="976">
        <f t="shared" si="242"/>
        <v>0</v>
      </c>
      <c r="M384" s="314">
        <f t="shared" si="256"/>
        <v>-61008000</v>
      </c>
      <c r="N384" s="3143"/>
      <c r="O384" s="218"/>
    </row>
    <row r="385" spans="1:15" s="266" customFormat="1" ht="26.25" customHeight="1" x14ac:dyDescent="0.2">
      <c r="A385" s="3148" t="s">
        <v>70</v>
      </c>
      <c r="B385" s="1022" t="s">
        <v>87</v>
      </c>
      <c r="C385" s="236" t="s">
        <v>166</v>
      </c>
      <c r="D385" s="1023"/>
      <c r="E385" s="1024"/>
      <c r="F385" s="1024"/>
      <c r="G385" s="1025"/>
      <c r="H385" s="1026"/>
      <c r="I385" s="1027"/>
      <c r="J385" s="1024"/>
      <c r="K385" s="1024"/>
      <c r="L385" s="1028"/>
      <c r="M385" s="1029"/>
      <c r="N385" s="3151" t="s">
        <v>88</v>
      </c>
      <c r="O385" s="218"/>
    </row>
    <row r="386" spans="1:15" s="1037" customFormat="1" ht="12.75" customHeight="1" x14ac:dyDescent="0.2">
      <c r="A386" s="3149"/>
      <c r="B386" s="1030" t="s">
        <v>2</v>
      </c>
      <c r="C386" s="1031"/>
      <c r="D386" s="364">
        <f t="shared" ref="D386:H386" si="268">+D387+D391</f>
        <v>208800000</v>
      </c>
      <c r="E386" s="365">
        <f t="shared" si="268"/>
        <v>0</v>
      </c>
      <c r="F386" s="365">
        <f t="shared" si="268"/>
        <v>52200000</v>
      </c>
      <c r="G386" s="365">
        <f t="shared" si="268"/>
        <v>87000000</v>
      </c>
      <c r="H386" s="1032">
        <f t="shared" si="268"/>
        <v>69600000</v>
      </c>
      <c r="I386" s="1033">
        <f>+I387+I391</f>
        <v>52200000</v>
      </c>
      <c r="J386" s="1034">
        <f t="shared" si="249"/>
        <v>25</v>
      </c>
      <c r="K386" s="365">
        <f>+K387+K391</f>
        <v>0</v>
      </c>
      <c r="L386" s="1035">
        <f t="shared" si="242"/>
        <v>0</v>
      </c>
      <c r="M386" s="1036">
        <f t="shared" ref="M386:M400" si="269">+K386-G386</f>
        <v>-87000000</v>
      </c>
      <c r="N386" s="3152"/>
      <c r="O386" s="218"/>
    </row>
    <row r="387" spans="1:15" s="1037" customFormat="1" ht="12.75" customHeight="1" x14ac:dyDescent="0.2">
      <c r="A387" s="3149"/>
      <c r="B387" s="366" t="s">
        <v>17</v>
      </c>
      <c r="C387" s="3154" t="s">
        <v>90</v>
      </c>
      <c r="D387" s="1038">
        <f t="shared" ref="D387:K387" si="270">SUM(D388:D390)</f>
        <v>62640000</v>
      </c>
      <c r="E387" s="1039">
        <f t="shared" si="270"/>
        <v>0</v>
      </c>
      <c r="F387" s="1039">
        <f t="shared" si="270"/>
        <v>15660000</v>
      </c>
      <c r="G387" s="1040">
        <f t="shared" si="270"/>
        <v>26100000</v>
      </c>
      <c r="H387" s="1041">
        <f t="shared" si="270"/>
        <v>20880000</v>
      </c>
      <c r="I387" s="1040">
        <f>SUM(I388:I390)</f>
        <v>15660000</v>
      </c>
      <c r="J387" s="1042">
        <f t="shared" si="249"/>
        <v>25</v>
      </c>
      <c r="K387" s="1040">
        <f t="shared" si="270"/>
        <v>0</v>
      </c>
      <c r="L387" s="1043">
        <f t="shared" ref="L387:L439" si="271">K387/G387*100</f>
        <v>0</v>
      </c>
      <c r="M387" s="1044">
        <f t="shared" si="269"/>
        <v>-26100000</v>
      </c>
      <c r="N387" s="3152"/>
      <c r="O387" s="218"/>
    </row>
    <row r="388" spans="1:15" s="266" customFormat="1" ht="12.75" customHeight="1" x14ac:dyDescent="0.2">
      <c r="A388" s="3149"/>
      <c r="B388" s="367" t="s">
        <v>4</v>
      </c>
      <c r="C388" s="3155"/>
      <c r="D388" s="244">
        <f>+E388+F388+G388+H388</f>
        <v>8563964</v>
      </c>
      <c r="E388" s="779"/>
      <c r="F388" s="1045">
        <v>0</v>
      </c>
      <c r="G388" s="1046">
        <v>1227714</v>
      </c>
      <c r="H388" s="1047">
        <v>7336250</v>
      </c>
      <c r="I388" s="784">
        <f t="shared" ref="I388:I389" si="272">+K388+F388+E388</f>
        <v>0</v>
      </c>
      <c r="J388" s="1048">
        <f t="shared" si="249"/>
        <v>0</v>
      </c>
      <c r="K388" s="250">
        <v>0</v>
      </c>
      <c r="L388" s="1049">
        <v>0</v>
      </c>
      <c r="M388" s="247">
        <f t="shared" si="269"/>
        <v>-1227714</v>
      </c>
      <c r="N388" s="3152"/>
      <c r="O388" s="218"/>
    </row>
    <row r="389" spans="1:15" s="266" customFormat="1" ht="12.75" customHeight="1" x14ac:dyDescent="0.2">
      <c r="A389" s="3149"/>
      <c r="B389" s="1050" t="s">
        <v>28</v>
      </c>
      <c r="C389" s="3155"/>
      <c r="D389" s="244">
        <f>+E389+F389+G389+H389</f>
        <v>14587500</v>
      </c>
      <c r="E389" s="779"/>
      <c r="F389" s="1045">
        <v>0</v>
      </c>
      <c r="G389" s="1046">
        <v>7293750</v>
      </c>
      <c r="H389" s="1047">
        <v>7293750</v>
      </c>
      <c r="I389" s="784">
        <f t="shared" si="272"/>
        <v>0</v>
      </c>
      <c r="J389" s="1048">
        <f t="shared" si="249"/>
        <v>0</v>
      </c>
      <c r="K389" s="250">
        <v>0</v>
      </c>
      <c r="L389" s="1049">
        <v>0</v>
      </c>
      <c r="M389" s="247">
        <f t="shared" si="269"/>
        <v>-7293750</v>
      </c>
      <c r="N389" s="3152"/>
      <c r="O389" s="218"/>
    </row>
    <row r="390" spans="1:15" s="266" customFormat="1" ht="12.75" customHeight="1" x14ac:dyDescent="0.2">
      <c r="A390" s="3149"/>
      <c r="B390" s="1051" t="s">
        <v>89</v>
      </c>
      <c r="C390" s="3155"/>
      <c r="D390" s="244">
        <f>+E390+F390+G390+H390</f>
        <v>39488536</v>
      </c>
      <c r="E390" s="1052"/>
      <c r="F390" s="1053">
        <v>15660000</v>
      </c>
      <c r="G390" s="1053">
        <v>17578536</v>
      </c>
      <c r="H390" s="1054">
        <v>6250000</v>
      </c>
      <c r="I390" s="1055">
        <f>+K390+F390+E390</f>
        <v>15660000</v>
      </c>
      <c r="J390" s="1056">
        <f t="shared" si="249"/>
        <v>39.657079209013979</v>
      </c>
      <c r="K390" s="1057"/>
      <c r="L390" s="1058">
        <f t="shared" si="271"/>
        <v>0</v>
      </c>
      <c r="M390" s="247">
        <f t="shared" si="269"/>
        <v>-17578536</v>
      </c>
      <c r="N390" s="3152"/>
      <c r="O390" s="218"/>
    </row>
    <row r="391" spans="1:15" s="1037" customFormat="1" ht="12.75" customHeight="1" x14ac:dyDescent="0.2">
      <c r="A391" s="3149"/>
      <c r="B391" s="368" t="s">
        <v>12</v>
      </c>
      <c r="C391" s="3155"/>
      <c r="D391" s="1038">
        <f t="shared" ref="D391:H391" si="273">+D393</f>
        <v>146160000</v>
      </c>
      <c r="E391" s="1039">
        <f t="shared" si="273"/>
        <v>0</v>
      </c>
      <c r="F391" s="1039">
        <f t="shared" si="273"/>
        <v>36540000</v>
      </c>
      <c r="G391" s="1039">
        <f t="shared" si="273"/>
        <v>60900000</v>
      </c>
      <c r="H391" s="1059">
        <f t="shared" si="273"/>
        <v>48720000</v>
      </c>
      <c r="I391" s="1039">
        <f>+I393+I392</f>
        <v>36540000</v>
      </c>
      <c r="J391" s="1056">
        <f t="shared" si="249"/>
        <v>25</v>
      </c>
      <c r="K391" s="1060">
        <f>+K393+K392</f>
        <v>0</v>
      </c>
      <c r="L391" s="1058">
        <f t="shared" si="271"/>
        <v>0</v>
      </c>
      <c r="M391" s="1044">
        <f t="shared" si="269"/>
        <v>-60900000</v>
      </c>
      <c r="N391" s="3152"/>
      <c r="O391" s="218"/>
    </row>
    <row r="392" spans="1:15" s="1037" customFormat="1" ht="15" customHeight="1" x14ac:dyDescent="0.2">
      <c r="A392" s="3149"/>
      <c r="B392" s="1051" t="s">
        <v>373</v>
      </c>
      <c r="C392" s="3155"/>
      <c r="D392" s="244">
        <f>+E392+F392+G392+H392</f>
        <v>0</v>
      </c>
      <c r="E392" s="1039"/>
      <c r="F392" s="1039"/>
      <c r="G392" s="853">
        <v>0</v>
      </c>
      <c r="H392" s="1061">
        <v>0</v>
      </c>
      <c r="I392" s="1055">
        <f>+K392+F392+E392+1023120</f>
        <v>1023120</v>
      </c>
      <c r="J392" s="1048">
        <v>0</v>
      </c>
      <c r="K392" s="1062"/>
      <c r="L392" s="1049">
        <v>0</v>
      </c>
      <c r="M392" s="247">
        <f t="shared" si="269"/>
        <v>0</v>
      </c>
      <c r="N392" s="3152"/>
      <c r="O392" s="218"/>
    </row>
    <row r="393" spans="1:15" s="266" customFormat="1" ht="12.75" customHeight="1" x14ac:dyDescent="0.2">
      <c r="A393" s="3149"/>
      <c r="B393" s="367" t="s">
        <v>14</v>
      </c>
      <c r="C393" s="3156"/>
      <c r="D393" s="244">
        <f>+E393+F393+G393+H393</f>
        <v>146160000</v>
      </c>
      <c r="E393" s="1063"/>
      <c r="F393" s="1064">
        <v>36540000</v>
      </c>
      <c r="G393" s="1064">
        <v>60900000</v>
      </c>
      <c r="H393" s="1065">
        <v>48720000</v>
      </c>
      <c r="I393" s="1055">
        <f>+K393+F393+E393-1023120</f>
        <v>35516880</v>
      </c>
      <c r="J393" s="1056">
        <f t="shared" si="249"/>
        <v>24.3</v>
      </c>
      <c r="K393" s="1066"/>
      <c r="L393" s="1058">
        <f t="shared" si="271"/>
        <v>0</v>
      </c>
      <c r="M393" s="247">
        <f t="shared" si="269"/>
        <v>-60900000</v>
      </c>
      <c r="N393" s="3152"/>
      <c r="O393" s="218"/>
    </row>
    <row r="394" spans="1:15" s="266" customFormat="1" ht="12.75" customHeight="1" x14ac:dyDescent="0.2">
      <c r="A394" s="3149"/>
      <c r="B394" s="1030" t="s">
        <v>16</v>
      </c>
      <c r="C394" s="25"/>
      <c r="D394" s="364">
        <f>+D395+D398</f>
        <v>200236036</v>
      </c>
      <c r="E394" s="365">
        <f>+E395</f>
        <v>20738536</v>
      </c>
      <c r="F394" s="365">
        <f>+F395</f>
        <v>6250000</v>
      </c>
      <c r="G394" s="365">
        <f>+G395+G398</f>
        <v>74443750</v>
      </c>
      <c r="H394" s="369">
        <f>+H395+H398</f>
        <v>62263750</v>
      </c>
      <c r="I394" s="1033">
        <f>+I395+I398</f>
        <v>69778536</v>
      </c>
      <c r="J394" s="1034">
        <f t="shared" si="249"/>
        <v>34.848140921047801</v>
      </c>
      <c r="K394" s="1067">
        <f>+K395+K398</f>
        <v>6250000</v>
      </c>
      <c r="L394" s="1035">
        <f>K394/G394*100</f>
        <v>8.3956007052304589</v>
      </c>
      <c r="M394" s="1036">
        <f t="shared" si="269"/>
        <v>-68193750</v>
      </c>
      <c r="N394" s="3152"/>
      <c r="O394" s="218"/>
    </row>
    <row r="395" spans="1:15" s="1037" customFormat="1" ht="12.75" customHeight="1" x14ac:dyDescent="0.2">
      <c r="A395" s="3149"/>
      <c r="B395" s="366" t="s">
        <v>17</v>
      </c>
      <c r="C395" s="3157" t="s">
        <v>90</v>
      </c>
      <c r="D395" s="1038">
        <f t="shared" ref="D395:I395" si="274">+D396+D397</f>
        <v>54076036</v>
      </c>
      <c r="E395" s="1039">
        <f t="shared" si="274"/>
        <v>20738536</v>
      </c>
      <c r="F395" s="1039">
        <f t="shared" si="274"/>
        <v>6250000</v>
      </c>
      <c r="G395" s="1039">
        <f>+G396+G397</f>
        <v>13543750</v>
      </c>
      <c r="H395" s="1068">
        <f t="shared" si="274"/>
        <v>13543750</v>
      </c>
      <c r="I395" s="1069">
        <f t="shared" si="274"/>
        <v>33238536</v>
      </c>
      <c r="J395" s="1042">
        <f t="shared" si="249"/>
        <v>61.466295347536203</v>
      </c>
      <c r="K395" s="1060">
        <f>+K396+K397</f>
        <v>6250000</v>
      </c>
      <c r="L395" s="1043">
        <f t="shared" si="271"/>
        <v>46.146746654360868</v>
      </c>
      <c r="M395" s="1044">
        <f t="shared" si="269"/>
        <v>-7293750</v>
      </c>
      <c r="N395" s="3152"/>
      <c r="O395" s="218"/>
    </row>
    <row r="396" spans="1:15" s="266" customFormat="1" ht="12.75" customHeight="1" x14ac:dyDescent="0.2">
      <c r="A396" s="3149"/>
      <c r="B396" s="1050" t="s">
        <v>86</v>
      </c>
      <c r="C396" s="3158"/>
      <c r="D396" s="244">
        <f>+E396+F396+G396+H396</f>
        <v>14587500</v>
      </c>
      <c r="E396" s="1063"/>
      <c r="F396" s="1064">
        <v>0</v>
      </c>
      <c r="G396" s="1064">
        <v>7293750</v>
      </c>
      <c r="H396" s="1070">
        <v>7293750</v>
      </c>
      <c r="I396" s="1038">
        <f>+K396+F396+E396</f>
        <v>0</v>
      </c>
      <c r="J396" s="1071">
        <f t="shared" si="249"/>
        <v>0</v>
      </c>
      <c r="K396" s="1066">
        <v>0</v>
      </c>
      <c r="L396" s="1049">
        <v>0</v>
      </c>
      <c r="M396" s="247">
        <f t="shared" si="269"/>
        <v>-7293750</v>
      </c>
      <c r="N396" s="3152"/>
      <c r="O396" s="218"/>
    </row>
    <row r="397" spans="1:15" s="266" customFormat="1" ht="12.75" customHeight="1" x14ac:dyDescent="0.2">
      <c r="A397" s="3149"/>
      <c r="B397" s="1051" t="s">
        <v>89</v>
      </c>
      <c r="C397" s="3158"/>
      <c r="D397" s="244">
        <f>+E397+F397+G397+H397</f>
        <v>39488536</v>
      </c>
      <c r="E397" s="1064">
        <f>8238536+6250000+6250000</f>
        <v>20738536</v>
      </c>
      <c r="F397" s="1064">
        <v>6250000</v>
      </c>
      <c r="G397" s="1064">
        <v>6250000</v>
      </c>
      <c r="H397" s="1072">
        <v>6250000</v>
      </c>
      <c r="I397" s="1055">
        <f>+K397+F397+E397</f>
        <v>33238536</v>
      </c>
      <c r="J397" s="1042">
        <f t="shared" si="249"/>
        <v>84.172621643912052</v>
      </c>
      <c r="K397" s="1066">
        <v>6250000</v>
      </c>
      <c r="L397" s="1043">
        <f t="shared" si="271"/>
        <v>100</v>
      </c>
      <c r="M397" s="247">
        <f t="shared" si="269"/>
        <v>0</v>
      </c>
      <c r="N397" s="3152"/>
      <c r="O397" s="218"/>
    </row>
    <row r="398" spans="1:15" s="1037" customFormat="1" ht="12.75" customHeight="1" x14ac:dyDescent="0.2">
      <c r="A398" s="3149"/>
      <c r="B398" s="368" t="s">
        <v>12</v>
      </c>
      <c r="C398" s="3158"/>
      <c r="D398" s="1038">
        <f>+D400+D399</f>
        <v>146160000</v>
      </c>
      <c r="E398" s="1073">
        <v>0</v>
      </c>
      <c r="F398" s="1073">
        <v>0</v>
      </c>
      <c r="G398" s="1039">
        <f>+G400+G399</f>
        <v>60900000</v>
      </c>
      <c r="H398" s="1059">
        <f>+H400+H399</f>
        <v>48720000</v>
      </c>
      <c r="I398" s="1069">
        <f>+I400+I399</f>
        <v>36540000</v>
      </c>
      <c r="J398" s="1042">
        <f t="shared" si="249"/>
        <v>25</v>
      </c>
      <c r="K398" s="1060">
        <f>+K400+K399</f>
        <v>0</v>
      </c>
      <c r="L398" s="1043">
        <f t="shared" si="271"/>
        <v>0</v>
      </c>
      <c r="M398" s="1044">
        <f t="shared" si="269"/>
        <v>-60900000</v>
      </c>
      <c r="N398" s="3152"/>
      <c r="O398" s="218"/>
    </row>
    <row r="399" spans="1:15" s="1037" customFormat="1" ht="13.5" customHeight="1" x14ac:dyDescent="0.2">
      <c r="A399" s="3149"/>
      <c r="B399" s="1051" t="s">
        <v>373</v>
      </c>
      <c r="C399" s="3158"/>
      <c r="D399" s="244">
        <f>+E399+F399+G399+H399</f>
        <v>0</v>
      </c>
      <c r="E399" s="1074"/>
      <c r="F399" s="1075"/>
      <c r="G399" s="1076">
        <v>0</v>
      </c>
      <c r="H399" s="1077">
        <v>0</v>
      </c>
      <c r="I399" s="1055">
        <f>+K399+F399+E399+1023120</f>
        <v>1023120</v>
      </c>
      <c r="J399" s="1078">
        <v>0</v>
      </c>
      <c r="K399" s="1066"/>
      <c r="L399" s="1079">
        <v>0</v>
      </c>
      <c r="M399" s="247">
        <f t="shared" si="269"/>
        <v>0</v>
      </c>
      <c r="N399" s="3152"/>
      <c r="O399" s="218"/>
    </row>
    <row r="400" spans="1:15" s="266" customFormat="1" ht="16.5" customHeight="1" thickBot="1" x14ac:dyDescent="0.25">
      <c r="A400" s="3150"/>
      <c r="B400" s="1080" t="s">
        <v>14</v>
      </c>
      <c r="C400" s="3159"/>
      <c r="D400" s="262">
        <f>+E400+F400+G400+H400</f>
        <v>146160000</v>
      </c>
      <c r="E400" s="909"/>
      <c r="F400" s="1081">
        <v>36540000</v>
      </c>
      <c r="G400" s="1081">
        <v>60900000</v>
      </c>
      <c r="H400" s="1082">
        <v>48720000</v>
      </c>
      <c r="I400" s="1083">
        <f>+K400+F400+E400-1023120</f>
        <v>35516880</v>
      </c>
      <c r="J400" s="1084">
        <f t="shared" si="249"/>
        <v>24.3</v>
      </c>
      <c r="K400" s="1085"/>
      <c r="L400" s="1086">
        <f t="shared" si="271"/>
        <v>0</v>
      </c>
      <c r="M400" s="263">
        <f t="shared" si="269"/>
        <v>-60900000</v>
      </c>
      <c r="N400" s="3153"/>
      <c r="O400" s="218"/>
    </row>
    <row r="401" spans="1:15" ht="26.25" customHeight="1" thickBot="1" x14ac:dyDescent="0.25">
      <c r="A401" s="3176" t="s">
        <v>368</v>
      </c>
      <c r="B401" s="929" t="s">
        <v>367</v>
      </c>
      <c r="C401" s="236" t="s">
        <v>171</v>
      </c>
      <c r="D401" s="291"/>
      <c r="E401" s="292"/>
      <c r="F401" s="292"/>
      <c r="G401" s="292"/>
      <c r="H401" s="878"/>
      <c r="I401" s="291"/>
      <c r="J401" s="292"/>
      <c r="K401" s="292"/>
      <c r="L401" s="879"/>
      <c r="M401" s="879"/>
      <c r="N401" s="3118" t="s">
        <v>278</v>
      </c>
      <c r="O401" s="218"/>
    </row>
    <row r="402" spans="1:15" ht="13.5" customHeight="1" thickBot="1" x14ac:dyDescent="0.25">
      <c r="A402" s="3176"/>
      <c r="B402" s="220" t="s">
        <v>2</v>
      </c>
      <c r="C402" s="25"/>
      <c r="D402" s="807">
        <f t="shared" ref="D402:E402" si="275">+D403+D405</f>
        <v>189772</v>
      </c>
      <c r="E402" s="808">
        <f t="shared" si="275"/>
        <v>0</v>
      </c>
      <c r="F402" s="808">
        <f>+F403+F405</f>
        <v>0</v>
      </c>
      <c r="G402" s="808">
        <f t="shared" ref="G402:I402" si="276">+G403+G405</f>
        <v>94886</v>
      </c>
      <c r="H402" s="808">
        <f t="shared" si="276"/>
        <v>94886</v>
      </c>
      <c r="I402" s="807">
        <f t="shared" si="276"/>
        <v>0</v>
      </c>
      <c r="J402" s="267">
        <f t="shared" ref="J402:J409" si="277">I402/D402*100</f>
        <v>0</v>
      </c>
      <c r="K402" s="808">
        <f>+K403+K405</f>
        <v>0</v>
      </c>
      <c r="L402" s="271">
        <f t="shared" ref="L402:L406" si="278">K402/G402*100</f>
        <v>0</v>
      </c>
      <c r="M402" s="241">
        <f t="shared" ref="M402:M409" si="279">+K402-G402</f>
        <v>-94886</v>
      </c>
      <c r="N402" s="3118"/>
      <c r="O402" s="218"/>
    </row>
    <row r="403" spans="1:15" ht="13.5" customHeight="1" thickBot="1" x14ac:dyDescent="0.25">
      <c r="A403" s="3176"/>
      <c r="B403" s="242" t="s">
        <v>17</v>
      </c>
      <c r="C403" s="3100" t="s">
        <v>33</v>
      </c>
      <c r="D403" s="812">
        <f t="shared" ref="D403:I403" si="280">+D404</f>
        <v>81772</v>
      </c>
      <c r="E403" s="813">
        <f t="shared" si="280"/>
        <v>0</v>
      </c>
      <c r="F403" s="813">
        <f>+F404</f>
        <v>0</v>
      </c>
      <c r="G403" s="813">
        <f t="shared" si="280"/>
        <v>40886</v>
      </c>
      <c r="H403" s="813">
        <f t="shared" si="280"/>
        <v>40886</v>
      </c>
      <c r="I403" s="812">
        <f t="shared" si="280"/>
        <v>0</v>
      </c>
      <c r="J403" s="144">
        <f t="shared" si="277"/>
        <v>0</v>
      </c>
      <c r="K403" s="813">
        <f>+K404</f>
        <v>0</v>
      </c>
      <c r="L403" s="294">
        <f t="shared" si="278"/>
        <v>0</v>
      </c>
      <c r="M403" s="778">
        <f t="shared" si="279"/>
        <v>-40886</v>
      </c>
      <c r="N403" s="3118"/>
      <c r="O403" s="218"/>
    </row>
    <row r="404" spans="1:15" ht="13.5" customHeight="1" thickBot="1" x14ac:dyDescent="0.25">
      <c r="A404" s="3176"/>
      <c r="B404" s="243" t="s">
        <v>4</v>
      </c>
      <c r="C404" s="3101"/>
      <c r="D404" s="244">
        <f>+E404+F404+G404+H404</f>
        <v>81772</v>
      </c>
      <c r="E404" s="779">
        <v>0</v>
      </c>
      <c r="F404" s="245">
        <v>0</v>
      </c>
      <c r="G404" s="245">
        <v>40886</v>
      </c>
      <c r="H404" s="245">
        <v>40886</v>
      </c>
      <c r="I404" s="274">
        <f>E404+F404+K404</f>
        <v>0</v>
      </c>
      <c r="J404" s="249">
        <f t="shared" si="277"/>
        <v>0</v>
      </c>
      <c r="K404" s="245">
        <v>0</v>
      </c>
      <c r="L404" s="276">
        <f t="shared" si="278"/>
        <v>0</v>
      </c>
      <c r="M404" s="247">
        <f t="shared" si="279"/>
        <v>-40886</v>
      </c>
      <c r="N404" s="3118"/>
      <c r="O404" s="218"/>
    </row>
    <row r="405" spans="1:15" ht="13.5" customHeight="1" thickBot="1" x14ac:dyDescent="0.25">
      <c r="A405" s="3176"/>
      <c r="B405" s="253" t="s">
        <v>12</v>
      </c>
      <c r="C405" s="3101"/>
      <c r="D405" s="812">
        <f t="shared" ref="D405:I405" si="281">+D406</f>
        <v>108000</v>
      </c>
      <c r="E405" s="813">
        <f t="shared" si="281"/>
        <v>0</v>
      </c>
      <c r="F405" s="813">
        <f t="shared" si="281"/>
        <v>0</v>
      </c>
      <c r="G405" s="813">
        <f t="shared" si="281"/>
        <v>54000</v>
      </c>
      <c r="H405" s="813">
        <f t="shared" si="281"/>
        <v>54000</v>
      </c>
      <c r="I405" s="812">
        <f t="shared" si="281"/>
        <v>0</v>
      </c>
      <c r="J405" s="249">
        <f t="shared" si="277"/>
        <v>0</v>
      </c>
      <c r="K405" s="813">
        <f>+K406</f>
        <v>0</v>
      </c>
      <c r="L405" s="276">
        <f t="shared" si="278"/>
        <v>0</v>
      </c>
      <c r="M405" s="778">
        <f t="shared" si="279"/>
        <v>-54000</v>
      </c>
      <c r="N405" s="3118"/>
      <c r="O405" s="218"/>
    </row>
    <row r="406" spans="1:15" ht="13.5" customHeight="1" thickBot="1" x14ac:dyDescent="0.25">
      <c r="A406" s="3176"/>
      <c r="B406" s="243" t="s">
        <v>14</v>
      </c>
      <c r="C406" s="3101"/>
      <c r="D406" s="244">
        <f>++E406+F406+G406+H406</f>
        <v>108000</v>
      </c>
      <c r="E406" s="779">
        <v>0</v>
      </c>
      <c r="F406" s="245">
        <v>0</v>
      </c>
      <c r="G406" s="245">
        <v>54000</v>
      </c>
      <c r="H406" s="245">
        <v>54000</v>
      </c>
      <c r="I406" s="274">
        <f>E406+F406+K406</f>
        <v>0</v>
      </c>
      <c r="J406" s="249">
        <f t="shared" si="277"/>
        <v>0</v>
      </c>
      <c r="K406" s="245">
        <v>0</v>
      </c>
      <c r="L406" s="276">
        <f t="shared" si="278"/>
        <v>0</v>
      </c>
      <c r="M406" s="247">
        <f t="shared" si="279"/>
        <v>-54000</v>
      </c>
      <c r="N406" s="3118"/>
      <c r="O406" s="218"/>
    </row>
    <row r="407" spans="1:15" s="266" customFormat="1" ht="13.5" customHeight="1" thickBot="1" x14ac:dyDescent="0.25">
      <c r="A407" s="3177"/>
      <c r="B407" s="220" t="s">
        <v>16</v>
      </c>
      <c r="C407" s="25"/>
      <c r="D407" s="807">
        <f>+D408</f>
        <v>108000</v>
      </c>
      <c r="E407" s="808">
        <v>0</v>
      </c>
      <c r="F407" s="808">
        <f t="shared" ref="F407:H408" si="282">+F408</f>
        <v>0</v>
      </c>
      <c r="G407" s="808">
        <f t="shared" si="282"/>
        <v>108000</v>
      </c>
      <c r="H407" s="808">
        <f t="shared" si="282"/>
        <v>0</v>
      </c>
      <c r="I407" s="299">
        <f>+I408</f>
        <v>0</v>
      </c>
      <c r="J407" s="267">
        <f t="shared" si="277"/>
        <v>0</v>
      </c>
      <c r="K407" s="234">
        <f>+K408</f>
        <v>0</v>
      </c>
      <c r="L407" s="300">
        <v>0</v>
      </c>
      <c r="M407" s="241">
        <f t="shared" si="279"/>
        <v>-108000</v>
      </c>
      <c r="N407" s="3116"/>
      <c r="O407" s="218"/>
    </row>
    <row r="408" spans="1:15" s="293" customFormat="1" ht="13.5" customHeight="1" thickBot="1" x14ac:dyDescent="0.25">
      <c r="A408" s="3177"/>
      <c r="B408" s="253" t="s">
        <v>12</v>
      </c>
      <c r="C408" s="3122" t="s">
        <v>33</v>
      </c>
      <c r="D408" s="812">
        <f>+D409</f>
        <v>108000</v>
      </c>
      <c r="E408" s="813">
        <v>0</v>
      </c>
      <c r="F408" s="813">
        <f t="shared" si="282"/>
        <v>0</v>
      </c>
      <c r="G408" s="813">
        <f t="shared" si="282"/>
        <v>108000</v>
      </c>
      <c r="H408" s="813">
        <f t="shared" si="282"/>
        <v>0</v>
      </c>
      <c r="I408" s="301">
        <f>+I409</f>
        <v>0</v>
      </c>
      <c r="J408" s="144">
        <f t="shared" si="277"/>
        <v>0</v>
      </c>
      <c r="K408" s="278">
        <f>+K409</f>
        <v>0</v>
      </c>
      <c r="L408" s="302">
        <v>0</v>
      </c>
      <c r="M408" s="778">
        <f t="shared" si="279"/>
        <v>-108000</v>
      </c>
      <c r="N408" s="3116"/>
      <c r="O408" s="218"/>
    </row>
    <row r="409" spans="1:15" s="266" customFormat="1" ht="13.5" customHeight="1" thickBot="1" x14ac:dyDescent="0.25">
      <c r="A409" s="3177"/>
      <c r="B409" s="280" t="s">
        <v>14</v>
      </c>
      <c r="C409" s="3116"/>
      <c r="D409" s="262">
        <f>++E409+F409+G409+H409</f>
        <v>108000</v>
      </c>
      <c r="E409" s="263">
        <v>0</v>
      </c>
      <c r="F409" s="799">
        <v>0</v>
      </c>
      <c r="G409" s="799">
        <v>108000</v>
      </c>
      <c r="H409" s="799">
        <v>0</v>
      </c>
      <c r="I409" s="930">
        <f>E409+F409+K409</f>
        <v>0</v>
      </c>
      <c r="J409" s="270">
        <f t="shared" si="277"/>
        <v>0</v>
      </c>
      <c r="K409" s="283">
        <v>0</v>
      </c>
      <c r="L409" s="931">
        <v>0</v>
      </c>
      <c r="M409" s="263">
        <f t="shared" si="279"/>
        <v>-108000</v>
      </c>
      <c r="N409" s="3116"/>
      <c r="O409" s="218"/>
    </row>
    <row r="410" spans="1:15" s="266" customFormat="1" ht="25.5" hidden="1" customHeight="1" x14ac:dyDescent="0.2">
      <c r="A410" s="3165" t="s">
        <v>91</v>
      </c>
      <c r="B410" s="370" t="s">
        <v>224</v>
      </c>
      <c r="C410" s="371"/>
      <c r="D410" s="372"/>
      <c r="E410" s="373"/>
      <c r="F410" s="373"/>
      <c r="G410" s="373"/>
      <c r="H410" s="374"/>
      <c r="I410" s="372"/>
      <c r="J410" s="373"/>
      <c r="K410" s="373"/>
      <c r="L410" s="375"/>
      <c r="M410" s="375"/>
      <c r="N410" s="3168"/>
      <c r="O410" s="218"/>
    </row>
    <row r="411" spans="1:15" s="266" customFormat="1" ht="12.75" hidden="1" customHeight="1" x14ac:dyDescent="0.2">
      <c r="A411" s="3166"/>
      <c r="B411" s="354" t="s">
        <v>2</v>
      </c>
      <c r="C411" s="306"/>
      <c r="D411" s="221"/>
      <c r="E411" s="222"/>
      <c r="F411" s="222"/>
      <c r="G411" s="222"/>
      <c r="H411" s="223"/>
      <c r="I411" s="221"/>
      <c r="J411" s="307"/>
      <c r="K411" s="376"/>
      <c r="L411" s="377"/>
      <c r="M411" s="308">
        <f t="shared" si="254"/>
        <v>0</v>
      </c>
      <c r="N411" s="3169"/>
      <c r="O411" s="218"/>
    </row>
    <row r="412" spans="1:15" s="266" customFormat="1" ht="12.75" hidden="1" customHeight="1" x14ac:dyDescent="0.2">
      <c r="A412" s="3166"/>
      <c r="B412" s="355" t="s">
        <v>17</v>
      </c>
      <c r="C412" s="3171"/>
      <c r="D412" s="309"/>
      <c r="E412" s="310"/>
      <c r="F412" s="310"/>
      <c r="G412" s="310"/>
      <c r="H412" s="311"/>
      <c r="I412" s="309"/>
      <c r="J412" s="378"/>
      <c r="K412" s="379"/>
      <c r="L412" s="380"/>
      <c r="M412" s="312">
        <f t="shared" ref="M412:M427" si="283">+K412-G412*0.5</f>
        <v>0</v>
      </c>
      <c r="N412" s="3169"/>
      <c r="O412" s="218"/>
    </row>
    <row r="413" spans="1:15" s="266" customFormat="1" ht="12.75" hidden="1" customHeight="1" x14ac:dyDescent="0.2">
      <c r="A413" s="3166"/>
      <c r="B413" s="356" t="s">
        <v>4</v>
      </c>
      <c r="C413" s="3172"/>
      <c r="D413" s="228"/>
      <c r="E413" s="229"/>
      <c r="F413" s="229"/>
      <c r="G413" s="229"/>
      <c r="H413" s="230"/>
      <c r="I413" s="228"/>
      <c r="J413" s="381"/>
      <c r="K413" s="231"/>
      <c r="L413" s="232"/>
      <c r="M413" s="314">
        <f t="shared" si="283"/>
        <v>0</v>
      </c>
      <c r="N413" s="3169"/>
      <c r="O413" s="218"/>
    </row>
    <row r="414" spans="1:15" s="266" customFormat="1" ht="12.75" hidden="1" customHeight="1" x14ac:dyDescent="0.2">
      <c r="A414" s="3166"/>
      <c r="B414" s="357" t="s">
        <v>12</v>
      </c>
      <c r="C414" s="3172"/>
      <c r="D414" s="225"/>
      <c r="E414" s="226"/>
      <c r="F414" s="226"/>
      <c r="G414" s="226"/>
      <c r="H414" s="227"/>
      <c r="I414" s="225"/>
      <c r="J414" s="382"/>
      <c r="K414" s="315"/>
      <c r="L414" s="383"/>
      <c r="M414" s="358">
        <f t="shared" si="283"/>
        <v>0</v>
      </c>
      <c r="N414" s="3169"/>
      <c r="O414" s="218"/>
    </row>
    <row r="415" spans="1:15" s="266" customFormat="1" ht="12.75" hidden="1" customHeight="1" x14ac:dyDescent="0.2">
      <c r="A415" s="3166"/>
      <c r="B415" s="384" t="s">
        <v>13</v>
      </c>
      <c r="C415" s="3173"/>
      <c r="D415" s="228"/>
      <c r="E415" s="229"/>
      <c r="F415" s="229"/>
      <c r="G415" s="229"/>
      <c r="H415" s="230"/>
      <c r="I415" s="228"/>
      <c r="J415" s="381"/>
      <c r="K415" s="231"/>
      <c r="L415" s="232"/>
      <c r="M415" s="314">
        <f t="shared" si="283"/>
        <v>0</v>
      </c>
      <c r="N415" s="3169"/>
      <c r="O415" s="218"/>
    </row>
    <row r="416" spans="1:15" s="266" customFormat="1" ht="12.75" hidden="1" customHeight="1" x14ac:dyDescent="0.2">
      <c r="A416" s="3166"/>
      <c r="B416" s="354" t="s">
        <v>16</v>
      </c>
      <c r="C416" s="306"/>
      <c r="D416" s="221"/>
      <c r="E416" s="222"/>
      <c r="F416" s="222"/>
      <c r="G416" s="222"/>
      <c r="H416" s="223"/>
      <c r="I416" s="221"/>
      <c r="J416" s="307"/>
      <c r="K416" s="222"/>
      <c r="L416" s="224"/>
      <c r="M416" s="308">
        <f t="shared" si="283"/>
        <v>0</v>
      </c>
      <c r="N416" s="3169"/>
      <c r="O416" s="218"/>
    </row>
    <row r="417" spans="1:17" s="266" customFormat="1" ht="12.75" hidden="1" customHeight="1" x14ac:dyDescent="0.2">
      <c r="A417" s="3166"/>
      <c r="B417" s="385" t="s">
        <v>12</v>
      </c>
      <c r="C417" s="3174"/>
      <c r="D417" s="359"/>
      <c r="E417" s="360"/>
      <c r="F417" s="360"/>
      <c r="G417" s="360"/>
      <c r="H417" s="361"/>
      <c r="I417" s="359"/>
      <c r="J417" s="378"/>
      <c r="K417" s="360"/>
      <c r="L417" s="386"/>
      <c r="M417" s="387">
        <f t="shared" si="283"/>
        <v>0</v>
      </c>
      <c r="N417" s="3169"/>
      <c r="O417" s="218"/>
    </row>
    <row r="418" spans="1:17" s="266" customFormat="1" ht="12.75" hidden="1" customHeight="1" thickBot="1" x14ac:dyDescent="0.25">
      <c r="A418" s="3167"/>
      <c r="B418" s="388" t="s">
        <v>13</v>
      </c>
      <c r="C418" s="3175"/>
      <c r="D418" s="362"/>
      <c r="E418" s="363"/>
      <c r="F418" s="363"/>
      <c r="G418" s="363"/>
      <c r="H418" s="389"/>
      <c r="I418" s="362"/>
      <c r="J418" s="390"/>
      <c r="K418" s="363"/>
      <c r="L418" s="391"/>
      <c r="M418" s="392">
        <f t="shared" si="283"/>
        <v>0</v>
      </c>
      <c r="N418" s="3170"/>
      <c r="O418" s="218"/>
    </row>
    <row r="419" spans="1:17" s="266" customFormat="1" ht="42.75" hidden="1" customHeight="1" x14ac:dyDescent="0.2">
      <c r="A419" s="3160" t="s">
        <v>92</v>
      </c>
      <c r="B419" s="393" t="s">
        <v>99</v>
      </c>
      <c r="C419" s="236" t="s">
        <v>171</v>
      </c>
      <c r="D419" s="237"/>
      <c r="E419" s="238"/>
      <c r="F419" s="238"/>
      <c r="G419" s="238"/>
      <c r="H419" s="239"/>
      <c r="I419" s="237"/>
      <c r="J419" s="238"/>
      <c r="K419" s="238"/>
      <c r="L419" s="240"/>
      <c r="M419" s="240"/>
      <c r="N419" s="3151" t="s">
        <v>281</v>
      </c>
      <c r="O419" s="218"/>
    </row>
    <row r="420" spans="1:17" s="266" customFormat="1" ht="12.75" hidden="1" customHeight="1" x14ac:dyDescent="0.2">
      <c r="A420" s="3161"/>
      <c r="B420" s="394" t="s">
        <v>2</v>
      </c>
      <c r="C420" s="25"/>
      <c r="D420" s="233"/>
      <c r="E420" s="234"/>
      <c r="F420" s="234"/>
      <c r="G420" s="287"/>
      <c r="H420" s="261"/>
      <c r="I420" s="233"/>
      <c r="J420" s="267"/>
      <c r="K420" s="287"/>
      <c r="L420" s="300"/>
      <c r="M420" s="241">
        <f t="shared" si="283"/>
        <v>0</v>
      </c>
      <c r="N420" s="3152"/>
      <c r="O420" s="218"/>
    </row>
    <row r="421" spans="1:17" s="266" customFormat="1" ht="12.75" hidden="1" customHeight="1" x14ac:dyDescent="0.2">
      <c r="A421" s="3161"/>
      <c r="B421" s="366" t="s">
        <v>17</v>
      </c>
      <c r="C421" s="3154" t="s">
        <v>96</v>
      </c>
      <c r="D421" s="277"/>
      <c r="E421" s="842"/>
      <c r="F421" s="842"/>
      <c r="G421" s="289"/>
      <c r="H421" s="279"/>
      <c r="I421" s="395"/>
      <c r="J421" s="144"/>
      <c r="K421" s="396"/>
      <c r="L421" s="302"/>
      <c r="M421" s="397">
        <f t="shared" si="283"/>
        <v>0</v>
      </c>
      <c r="N421" s="3152"/>
      <c r="O421" s="218"/>
    </row>
    <row r="422" spans="1:17" s="266" customFormat="1" ht="12.75" hidden="1" customHeight="1" x14ac:dyDescent="0.2">
      <c r="A422" s="3161"/>
      <c r="B422" s="367" t="s">
        <v>4</v>
      </c>
      <c r="C422" s="3155"/>
      <c r="D422" s="244"/>
      <c r="E422" s="779"/>
      <c r="F422" s="779"/>
      <c r="G422" s="250"/>
      <c r="H422" s="248"/>
      <c r="I422" s="246"/>
      <c r="J422" s="249"/>
      <c r="K422" s="250"/>
      <c r="L422" s="251"/>
      <c r="M422" s="247">
        <f t="shared" si="283"/>
        <v>0</v>
      </c>
      <c r="N422" s="3152"/>
      <c r="O422" s="218"/>
    </row>
    <row r="423" spans="1:17" s="266" customFormat="1" ht="12.75" hidden="1" customHeight="1" x14ac:dyDescent="0.2">
      <c r="A423" s="3161"/>
      <c r="B423" s="368" t="s">
        <v>12</v>
      </c>
      <c r="C423" s="3155"/>
      <c r="D423" s="254"/>
      <c r="E423" s="842"/>
      <c r="F423" s="1087"/>
      <c r="G423" s="398"/>
      <c r="H423" s="275"/>
      <c r="I423" s="399"/>
      <c r="J423" s="26"/>
      <c r="K423" s="398"/>
      <c r="L423" s="258"/>
      <c r="M423" s="400">
        <f t="shared" si="283"/>
        <v>0</v>
      </c>
      <c r="N423" s="3152"/>
      <c r="O423" s="218"/>
    </row>
    <row r="424" spans="1:17" s="266" customFormat="1" ht="12.75" hidden="1" customHeight="1" x14ac:dyDescent="0.2">
      <c r="A424" s="3161"/>
      <c r="B424" s="401" t="s">
        <v>13</v>
      </c>
      <c r="C424" s="3156"/>
      <c r="D424" s="244"/>
      <c r="E424" s="779"/>
      <c r="F424" s="779"/>
      <c r="G424" s="250"/>
      <c r="H424" s="248"/>
      <c r="I424" s="246"/>
      <c r="J424" s="249"/>
      <c r="K424" s="250"/>
      <c r="L424" s="251"/>
      <c r="M424" s="247">
        <f t="shared" si="283"/>
        <v>0</v>
      </c>
      <c r="N424" s="3152"/>
      <c r="O424" s="218"/>
    </row>
    <row r="425" spans="1:17" s="266" customFormat="1" ht="12.75" hidden="1" customHeight="1" x14ac:dyDescent="0.2">
      <c r="A425" s="3161"/>
      <c r="B425" s="394" t="s">
        <v>16</v>
      </c>
      <c r="C425" s="25"/>
      <c r="D425" s="233"/>
      <c r="E425" s="234"/>
      <c r="F425" s="234"/>
      <c r="G425" s="234"/>
      <c r="H425" s="261"/>
      <c r="I425" s="233"/>
      <c r="J425" s="267"/>
      <c r="K425" s="234"/>
      <c r="L425" s="271"/>
      <c r="M425" s="241">
        <f t="shared" si="283"/>
        <v>0</v>
      </c>
      <c r="N425" s="3152"/>
      <c r="O425" s="218"/>
    </row>
    <row r="426" spans="1:17" s="266" customFormat="1" ht="12.75" hidden="1" customHeight="1" x14ac:dyDescent="0.2">
      <c r="A426" s="3161"/>
      <c r="B426" s="368" t="s">
        <v>12</v>
      </c>
      <c r="C426" s="3163" t="s">
        <v>100</v>
      </c>
      <c r="D426" s="254"/>
      <c r="E426" s="255"/>
      <c r="F426" s="255"/>
      <c r="G426" s="255"/>
      <c r="H426" s="256"/>
      <c r="I426" s="254"/>
      <c r="J426" s="144"/>
      <c r="K426" s="255"/>
      <c r="L426" s="294"/>
      <c r="M426" s="259">
        <f t="shared" si="283"/>
        <v>0</v>
      </c>
      <c r="N426" s="3152"/>
      <c r="O426" s="218"/>
    </row>
    <row r="427" spans="1:17" s="266" customFormat="1" ht="12.75" hidden="1" customHeight="1" thickBot="1" x14ac:dyDescent="0.25">
      <c r="A427" s="3162"/>
      <c r="B427" s="402" t="s">
        <v>13</v>
      </c>
      <c r="C427" s="3164"/>
      <c r="D427" s="262"/>
      <c r="E427" s="263"/>
      <c r="F427" s="263"/>
      <c r="G427" s="263"/>
      <c r="H427" s="272"/>
      <c r="I427" s="264"/>
      <c r="J427" s="270"/>
      <c r="K427" s="403"/>
      <c r="L427" s="273"/>
      <c r="M427" s="265">
        <f t="shared" si="283"/>
        <v>0</v>
      </c>
      <c r="N427" s="3153"/>
      <c r="O427" s="218"/>
    </row>
    <row r="428" spans="1:17" s="266" customFormat="1" ht="27" customHeight="1" thickBot="1" x14ac:dyDescent="0.25">
      <c r="A428" s="404"/>
      <c r="B428" s="405" t="s">
        <v>225</v>
      </c>
      <c r="C428" s="27"/>
      <c r="D428" s="406"/>
      <c r="E428" s="1088"/>
      <c r="F428" s="407"/>
      <c r="G428" s="407"/>
      <c r="H428" s="408"/>
      <c r="I428" s="409"/>
      <c r="J428" s="410"/>
      <c r="K428" s="410"/>
      <c r="L428" s="411"/>
      <c r="M428" s="412"/>
      <c r="N428" s="536"/>
      <c r="O428" s="218"/>
    </row>
    <row r="429" spans="1:17" ht="18" customHeight="1" thickBot="1" x14ac:dyDescent="0.25">
      <c r="A429" s="1089"/>
      <c r="B429" s="600" t="s">
        <v>162</v>
      </c>
      <c r="C429" s="601"/>
      <c r="D429" s="602">
        <f>D430+D431</f>
        <v>556567633</v>
      </c>
      <c r="E429" s="605">
        <f>E430+E431</f>
        <v>100048567</v>
      </c>
      <c r="F429" s="605">
        <f>F430+F431</f>
        <v>138580594</v>
      </c>
      <c r="G429" s="605">
        <f t="shared" ref="G429:I429" si="284">G430+G431</f>
        <v>100783909</v>
      </c>
      <c r="H429" s="606">
        <f t="shared" si="284"/>
        <v>217154563</v>
      </c>
      <c r="I429" s="602">
        <f t="shared" si="284"/>
        <v>260358537</v>
      </c>
      <c r="J429" s="608">
        <f t="shared" ref="J429:J484" si="285">I429/D429*100</f>
        <v>46.779316935233993</v>
      </c>
      <c r="K429" s="603">
        <f>K430+K431</f>
        <v>23895483</v>
      </c>
      <c r="L429" s="608">
        <f t="shared" si="271"/>
        <v>23.709621145970832</v>
      </c>
      <c r="M429" s="605">
        <f t="shared" ref="M429:M434" si="286">+K429-G429</f>
        <v>-76888426</v>
      </c>
      <c r="N429" s="1090"/>
      <c r="O429" s="218"/>
      <c r="P429" s="218"/>
      <c r="Q429" s="218"/>
    </row>
    <row r="430" spans="1:17" ht="15" customHeight="1" thickTop="1" x14ac:dyDescent="0.2">
      <c r="A430" s="1091"/>
      <c r="B430" s="613" t="s">
        <v>163</v>
      </c>
      <c r="C430" s="614"/>
      <c r="D430" s="39">
        <f>D494+D498+D506+D510+D514</f>
        <v>414120500</v>
      </c>
      <c r="E430" s="617">
        <f t="shared" ref="E430:K430" si="287">E494+E498+E506+E510+E514</f>
        <v>27804585</v>
      </c>
      <c r="F430" s="617">
        <f t="shared" si="287"/>
        <v>98745686</v>
      </c>
      <c r="G430" s="617">
        <f t="shared" si="287"/>
        <v>95219666</v>
      </c>
      <c r="H430" s="45">
        <f t="shared" si="287"/>
        <v>192350563</v>
      </c>
      <c r="I430" s="42">
        <f t="shared" si="287"/>
        <v>149727631</v>
      </c>
      <c r="J430" s="1092">
        <f t="shared" si="285"/>
        <v>36.155570902672046</v>
      </c>
      <c r="K430" s="40">
        <f t="shared" si="287"/>
        <v>23895483</v>
      </c>
      <c r="L430" s="43">
        <f t="shared" si="271"/>
        <v>25.09511323007581</v>
      </c>
      <c r="M430" s="617">
        <f t="shared" si="286"/>
        <v>-71324183</v>
      </c>
      <c r="N430" s="1093"/>
      <c r="O430" s="218"/>
      <c r="P430" s="218"/>
      <c r="Q430" s="218"/>
    </row>
    <row r="431" spans="1:17" ht="16.5" customHeight="1" thickBot="1" x14ac:dyDescent="0.25">
      <c r="A431" s="1094"/>
      <c r="B431" s="1095" t="s">
        <v>164</v>
      </c>
      <c r="C431" s="1096"/>
      <c r="D431" s="625">
        <f t="shared" ref="D431:I431" si="288">D444+D454+D462+D466+D470+D474+D482+D486+D518</f>
        <v>142447133</v>
      </c>
      <c r="E431" s="413">
        <f t="shared" si="288"/>
        <v>72243982</v>
      </c>
      <c r="F431" s="413">
        <f t="shared" si="288"/>
        <v>39834908</v>
      </c>
      <c r="G431" s="413">
        <f t="shared" si="288"/>
        <v>5564243</v>
      </c>
      <c r="H431" s="1097">
        <f>H444+H454+H462+H466+H470+H474+H482+H486+H518</f>
        <v>24804000</v>
      </c>
      <c r="I431" s="1098">
        <f t="shared" si="288"/>
        <v>110630906</v>
      </c>
      <c r="J431" s="1099">
        <f t="shared" si="285"/>
        <v>77.664536779409943</v>
      </c>
      <c r="K431" s="626">
        <f>K444+K454+K462+K466+K470+K474+K482+K486+K518</f>
        <v>0</v>
      </c>
      <c r="L431" s="628">
        <f t="shared" si="271"/>
        <v>0</v>
      </c>
      <c r="M431" s="1100">
        <f t="shared" si="286"/>
        <v>-5564243</v>
      </c>
      <c r="N431" s="1101"/>
      <c r="O431" s="218"/>
      <c r="P431" s="218"/>
      <c r="Q431" s="218"/>
    </row>
    <row r="432" spans="1:17" ht="15.75" customHeight="1" x14ac:dyDescent="0.2">
      <c r="A432" s="1102"/>
      <c r="B432" s="1103" t="s">
        <v>2</v>
      </c>
      <c r="C432" s="1104"/>
      <c r="D432" s="1105">
        <f t="shared" ref="D432:K432" si="289">+D433</f>
        <v>556567633</v>
      </c>
      <c r="E432" s="1106">
        <f t="shared" si="289"/>
        <v>100048567</v>
      </c>
      <c r="F432" s="1106">
        <f t="shared" si="289"/>
        <v>138580594</v>
      </c>
      <c r="G432" s="1106">
        <f t="shared" si="289"/>
        <v>100783909</v>
      </c>
      <c r="H432" s="1107">
        <f t="shared" si="289"/>
        <v>217154563</v>
      </c>
      <c r="I432" s="1108">
        <f t="shared" si="289"/>
        <v>260358537</v>
      </c>
      <c r="J432" s="1109">
        <f t="shared" si="285"/>
        <v>46.779316935233993</v>
      </c>
      <c r="K432" s="1110">
        <f t="shared" si="289"/>
        <v>23895483</v>
      </c>
      <c r="L432" s="1109">
        <f t="shared" si="271"/>
        <v>23.709621145970832</v>
      </c>
      <c r="M432" s="1111">
        <f t="shared" si="286"/>
        <v>-76888426</v>
      </c>
      <c r="N432" s="1112"/>
      <c r="O432" s="218"/>
    </row>
    <row r="433" spans="1:15" s="219" customFormat="1" x14ac:dyDescent="0.2">
      <c r="A433" s="1102"/>
      <c r="B433" s="1113" t="s">
        <v>374</v>
      </c>
      <c r="C433" s="3138"/>
      <c r="D433" s="1114">
        <f t="shared" ref="D433:H433" si="290">+D434+D435+D436+D437</f>
        <v>556567633</v>
      </c>
      <c r="E433" s="1115">
        <f>+E434+E435+E436+E437</f>
        <v>100048567</v>
      </c>
      <c r="F433" s="1115">
        <f t="shared" si="290"/>
        <v>138580594</v>
      </c>
      <c r="G433" s="1115">
        <f t="shared" si="290"/>
        <v>100783909</v>
      </c>
      <c r="H433" s="1116">
        <f t="shared" si="290"/>
        <v>217154563</v>
      </c>
      <c r="I433" s="1117">
        <f>+I434+I435+I436+I437</f>
        <v>260358537</v>
      </c>
      <c r="J433" s="1118">
        <f t="shared" si="285"/>
        <v>46.779316935233993</v>
      </c>
      <c r="K433" s="1119">
        <f>+K434+K435+K436+K437</f>
        <v>23895483</v>
      </c>
      <c r="L433" s="1118">
        <f t="shared" si="271"/>
        <v>23.709621145970832</v>
      </c>
      <c r="M433" s="1115">
        <f t="shared" si="286"/>
        <v>-76888426</v>
      </c>
      <c r="N433" s="1112"/>
      <c r="O433" s="218"/>
    </row>
    <row r="434" spans="1:15" ht="14.25" customHeight="1" x14ac:dyDescent="0.2">
      <c r="A434" s="1102"/>
      <c r="B434" s="1120" t="s">
        <v>4</v>
      </c>
      <c r="C434" s="3139"/>
      <c r="D434" s="1121">
        <f t="shared" ref="D434:I434" si="291">D446+D456+D468+D472+D476+D484+D488+D496+D500+D508+D512+D516+D464+D520</f>
        <v>533686061</v>
      </c>
      <c r="E434" s="1122">
        <f t="shared" si="291"/>
        <v>89317712</v>
      </c>
      <c r="F434" s="1122">
        <f t="shared" si="291"/>
        <v>127418717</v>
      </c>
      <c r="G434" s="1122">
        <f t="shared" si="291"/>
        <v>99795069</v>
      </c>
      <c r="H434" s="1123">
        <f t="shared" si="291"/>
        <v>217154563</v>
      </c>
      <c r="I434" s="1124">
        <f t="shared" si="291"/>
        <v>238431680</v>
      </c>
      <c r="J434" s="1125">
        <f t="shared" si="285"/>
        <v>44.676392625513969</v>
      </c>
      <c r="K434" s="1126">
        <f>K446+K456+K468+K472+K476+K484+K488+K496+K500+K508+K512+K516+K464+K520</f>
        <v>23895483</v>
      </c>
      <c r="L434" s="1125">
        <f t="shared" si="271"/>
        <v>23.944552811522179</v>
      </c>
      <c r="M434" s="1127">
        <f t="shared" si="286"/>
        <v>-75899586</v>
      </c>
      <c r="N434" s="1112"/>
      <c r="O434" s="218"/>
    </row>
    <row r="435" spans="1:15" ht="14.25" customHeight="1" x14ac:dyDescent="0.2">
      <c r="A435" s="1102"/>
      <c r="B435" s="1128" t="s">
        <v>28</v>
      </c>
      <c r="C435" s="3139"/>
      <c r="D435" s="1121">
        <f t="shared" ref="D435:K435" si="292">+D447</f>
        <v>14587500</v>
      </c>
      <c r="E435" s="1122">
        <f t="shared" si="292"/>
        <v>7293750</v>
      </c>
      <c r="F435" s="1122">
        <f t="shared" si="292"/>
        <v>7293750</v>
      </c>
      <c r="G435" s="1122">
        <f t="shared" si="292"/>
        <v>0</v>
      </c>
      <c r="H435" s="1123">
        <f t="shared" si="292"/>
        <v>0</v>
      </c>
      <c r="I435" s="1129">
        <f t="shared" si="292"/>
        <v>14587500</v>
      </c>
      <c r="J435" s="1125">
        <f t="shared" si="285"/>
        <v>100</v>
      </c>
      <c r="K435" s="1126">
        <f t="shared" si="292"/>
        <v>0</v>
      </c>
      <c r="L435" s="1130">
        <v>0</v>
      </c>
      <c r="M435" s="1127">
        <f t="shared" ref="M435:M437" si="293">+K435-G435</f>
        <v>0</v>
      </c>
      <c r="N435" s="1112"/>
      <c r="O435" s="218"/>
    </row>
    <row r="436" spans="1:15" ht="14.25" customHeight="1" x14ac:dyDescent="0.2">
      <c r="A436" s="1102"/>
      <c r="B436" s="1128" t="s">
        <v>56</v>
      </c>
      <c r="C436" s="3139"/>
      <c r="D436" s="1121">
        <f>+D457+D477+D489+D501</f>
        <v>7581572</v>
      </c>
      <c r="E436" s="1122">
        <f t="shared" ref="E436:H436" si="294">+E457+E477+E489+E501</f>
        <v>3437105</v>
      </c>
      <c r="F436" s="1122">
        <f t="shared" si="294"/>
        <v>3155627</v>
      </c>
      <c r="G436" s="1122">
        <f t="shared" si="294"/>
        <v>988840</v>
      </c>
      <c r="H436" s="1123">
        <f t="shared" si="294"/>
        <v>0</v>
      </c>
      <c r="I436" s="1124">
        <f>+I457+I477+I489+I501</f>
        <v>6626857</v>
      </c>
      <c r="J436" s="1131">
        <f t="shared" si="285"/>
        <v>87.407426850262709</v>
      </c>
      <c r="K436" s="1132">
        <f>+K457+K477+K489+K501</f>
        <v>0</v>
      </c>
      <c r="L436" s="1130">
        <v>0</v>
      </c>
      <c r="M436" s="1127">
        <f t="shared" si="293"/>
        <v>-988840</v>
      </c>
      <c r="N436" s="1112"/>
      <c r="O436" s="218"/>
    </row>
    <row r="437" spans="1:15" ht="13.5" customHeight="1" x14ac:dyDescent="0.2">
      <c r="A437" s="1102"/>
      <c r="B437" s="1133" t="s">
        <v>89</v>
      </c>
      <c r="C437" s="3139"/>
      <c r="D437" s="1121">
        <f t="shared" ref="D437:K437" si="295">+D448</f>
        <v>712500</v>
      </c>
      <c r="E437" s="1122">
        <f t="shared" si="295"/>
        <v>0</v>
      </c>
      <c r="F437" s="1122">
        <f t="shared" si="295"/>
        <v>712500</v>
      </c>
      <c r="G437" s="1134">
        <f t="shared" si="295"/>
        <v>0</v>
      </c>
      <c r="H437" s="1123">
        <f t="shared" si="295"/>
        <v>0</v>
      </c>
      <c r="I437" s="1129">
        <f t="shared" si="295"/>
        <v>712500</v>
      </c>
      <c r="J437" s="1131">
        <f t="shared" si="285"/>
        <v>100</v>
      </c>
      <c r="K437" s="1135">
        <f t="shared" si="295"/>
        <v>0</v>
      </c>
      <c r="L437" s="1130">
        <v>0</v>
      </c>
      <c r="M437" s="1126">
        <f t="shared" si="293"/>
        <v>0</v>
      </c>
      <c r="N437" s="1112"/>
      <c r="O437" s="218"/>
    </row>
    <row r="438" spans="1:15" ht="14.25" customHeight="1" x14ac:dyDescent="0.2">
      <c r="A438" s="1102"/>
      <c r="B438" s="712" t="s">
        <v>16</v>
      </c>
      <c r="C438" s="306"/>
      <c r="D438" s="1136">
        <f t="shared" ref="D438:K438" si="296">+D439</f>
        <v>22881572</v>
      </c>
      <c r="E438" s="1137">
        <f t="shared" si="296"/>
        <v>11443355</v>
      </c>
      <c r="F438" s="1138">
        <f t="shared" si="296"/>
        <v>10449377</v>
      </c>
      <c r="G438" s="1138">
        <f t="shared" si="296"/>
        <v>988840</v>
      </c>
      <c r="H438" s="1139">
        <f t="shared" si="296"/>
        <v>0</v>
      </c>
      <c r="I438" s="1140">
        <f t="shared" si="296"/>
        <v>22214152</v>
      </c>
      <c r="J438" s="1141">
        <f t="shared" si="285"/>
        <v>97.083154951067172</v>
      </c>
      <c r="K438" s="1142">
        <f t="shared" si="296"/>
        <v>287295</v>
      </c>
      <c r="L438" s="1143">
        <f t="shared" si="271"/>
        <v>29.053739735447596</v>
      </c>
      <c r="M438" s="1144">
        <f>+K438-G438</f>
        <v>-701545</v>
      </c>
      <c r="N438" s="1112"/>
      <c r="O438" s="218"/>
    </row>
    <row r="439" spans="1:15" ht="13.5" customHeight="1" x14ac:dyDescent="0.2">
      <c r="A439" s="1102"/>
      <c r="B439" s="1145" t="s">
        <v>375</v>
      </c>
      <c r="C439" s="3140"/>
      <c r="D439" s="1114">
        <f t="shared" ref="D439:K439" si="297">+D440+D441+D442</f>
        <v>22881572</v>
      </c>
      <c r="E439" s="1115">
        <f t="shared" si="297"/>
        <v>11443355</v>
      </c>
      <c r="F439" s="1119">
        <f t="shared" si="297"/>
        <v>10449377</v>
      </c>
      <c r="G439" s="1119">
        <f t="shared" si="297"/>
        <v>988840</v>
      </c>
      <c r="H439" s="1116">
        <f t="shared" si="297"/>
        <v>0</v>
      </c>
      <c r="I439" s="1117">
        <f t="shared" si="297"/>
        <v>22214152</v>
      </c>
      <c r="J439" s="1146">
        <f t="shared" si="285"/>
        <v>97.083154951067172</v>
      </c>
      <c r="K439" s="1147">
        <f t="shared" si="297"/>
        <v>287295</v>
      </c>
      <c r="L439" s="1118">
        <f t="shared" si="271"/>
        <v>29.053739735447596</v>
      </c>
      <c r="M439" s="1115">
        <f>+K439-G439</f>
        <v>-701545</v>
      </c>
      <c r="N439" s="1112"/>
      <c r="O439" s="218"/>
    </row>
    <row r="440" spans="1:15" ht="13.5" customHeight="1" x14ac:dyDescent="0.2">
      <c r="A440" s="1102"/>
      <c r="B440" s="1133" t="s">
        <v>28</v>
      </c>
      <c r="C440" s="3141"/>
      <c r="D440" s="1121">
        <f t="shared" ref="D440:H440" si="298">+D451</f>
        <v>14587500</v>
      </c>
      <c r="E440" s="1122">
        <f t="shared" si="298"/>
        <v>7293750</v>
      </c>
      <c r="F440" s="1134">
        <f t="shared" si="298"/>
        <v>7293750</v>
      </c>
      <c r="G440" s="1134">
        <f t="shared" si="298"/>
        <v>0</v>
      </c>
      <c r="H440" s="1123">
        <f t="shared" si="298"/>
        <v>0</v>
      </c>
      <c r="I440" s="1129">
        <f t="shared" ref="I440" si="299">+I451</f>
        <v>14587500</v>
      </c>
      <c r="J440" s="1131">
        <f t="shared" si="285"/>
        <v>100</v>
      </c>
      <c r="K440" s="1135">
        <f t="shared" ref="K440" si="300">+K451</f>
        <v>0</v>
      </c>
      <c r="L440" s="1130">
        <v>0</v>
      </c>
      <c r="M440" s="1127">
        <f>+K440-G440</f>
        <v>0</v>
      </c>
      <c r="N440" s="1112"/>
      <c r="O440" s="218"/>
    </row>
    <row r="441" spans="1:15" ht="13.5" customHeight="1" x14ac:dyDescent="0.2">
      <c r="A441" s="1102"/>
      <c r="B441" s="1133" t="s">
        <v>56</v>
      </c>
      <c r="C441" s="3141"/>
      <c r="D441" s="1121">
        <f>+D460+D480+D492+D504</f>
        <v>7581572</v>
      </c>
      <c r="E441" s="1122">
        <f t="shared" ref="E441:I441" si="301">+E460+E480+E492+E504</f>
        <v>3437105</v>
      </c>
      <c r="F441" s="1134">
        <f t="shared" si="301"/>
        <v>3155627</v>
      </c>
      <c r="G441" s="1134">
        <f t="shared" si="301"/>
        <v>988840</v>
      </c>
      <c r="H441" s="1123">
        <f t="shared" si="301"/>
        <v>0</v>
      </c>
      <c r="I441" s="1124">
        <f t="shared" si="301"/>
        <v>6914152</v>
      </c>
      <c r="J441" s="1131">
        <f t="shared" si="285"/>
        <v>91.196812481633089</v>
      </c>
      <c r="K441" s="1132">
        <f>+K460+K480+K492+K504</f>
        <v>287295</v>
      </c>
      <c r="L441" s="1130">
        <v>0</v>
      </c>
      <c r="M441" s="1127">
        <f>+K441-G441</f>
        <v>-701545</v>
      </c>
      <c r="N441" s="1112"/>
      <c r="O441" s="218"/>
    </row>
    <row r="442" spans="1:15" ht="13.5" customHeight="1" thickBot="1" x14ac:dyDescent="0.25">
      <c r="A442" s="1148"/>
      <c r="B442" s="1149" t="s">
        <v>89</v>
      </c>
      <c r="C442" s="3142"/>
      <c r="D442" s="1150">
        <f t="shared" ref="D442:H442" si="302">+D452</f>
        <v>712500</v>
      </c>
      <c r="E442" s="1151">
        <f t="shared" si="302"/>
        <v>712500</v>
      </c>
      <c r="F442" s="1152">
        <f t="shared" si="302"/>
        <v>0</v>
      </c>
      <c r="G442" s="1152">
        <f t="shared" si="302"/>
        <v>0</v>
      </c>
      <c r="H442" s="1153">
        <f t="shared" si="302"/>
        <v>0</v>
      </c>
      <c r="I442" s="1154">
        <f t="shared" ref="I442" si="303">+I452</f>
        <v>712500</v>
      </c>
      <c r="J442" s="1155">
        <f t="shared" si="285"/>
        <v>100</v>
      </c>
      <c r="K442" s="1156">
        <f t="shared" ref="K442" si="304">+K452</f>
        <v>0</v>
      </c>
      <c r="L442" s="1157">
        <v>0</v>
      </c>
      <c r="M442" s="1127">
        <f>+K442-G442</f>
        <v>0</v>
      </c>
      <c r="N442" s="1158"/>
      <c r="O442" s="218"/>
    </row>
    <row r="443" spans="1:15" ht="25.5" customHeight="1" x14ac:dyDescent="0.2">
      <c r="A443" s="3130" t="s">
        <v>32</v>
      </c>
      <c r="B443" s="1159" t="s">
        <v>94</v>
      </c>
      <c r="C443" s="1160" t="s">
        <v>166</v>
      </c>
      <c r="D443" s="1161"/>
      <c r="E443" s="1162"/>
      <c r="F443" s="1162"/>
      <c r="G443" s="1163"/>
      <c r="H443" s="1164"/>
      <c r="I443" s="1161"/>
      <c r="J443" s="1162"/>
      <c r="K443" s="1162"/>
      <c r="L443" s="1165"/>
      <c r="M443" s="1165"/>
      <c r="N443" s="3134" t="s">
        <v>93</v>
      </c>
      <c r="O443" s="218"/>
    </row>
    <row r="444" spans="1:15" ht="13.5" customHeight="1" x14ac:dyDescent="0.2">
      <c r="A444" s="3131"/>
      <c r="B444" s="220" t="s">
        <v>2</v>
      </c>
      <c r="C444" s="25"/>
      <c r="D444" s="364">
        <f>SUM(E444:H444)</f>
        <v>20000000</v>
      </c>
      <c r="E444" s="365">
        <f t="shared" ref="E444:F444" si="305">+E445</f>
        <v>10000000</v>
      </c>
      <c r="F444" s="365">
        <f t="shared" si="305"/>
        <v>10000000</v>
      </c>
      <c r="G444" s="1166">
        <f>+G445</f>
        <v>0</v>
      </c>
      <c r="H444" s="982">
        <f>+H445</f>
        <v>0</v>
      </c>
      <c r="I444" s="1167">
        <f>+I445</f>
        <v>20000000</v>
      </c>
      <c r="J444" s="1168">
        <f t="shared" si="285"/>
        <v>100</v>
      </c>
      <c r="K444" s="365">
        <f>+K445</f>
        <v>0</v>
      </c>
      <c r="L444" s="1169">
        <v>0</v>
      </c>
      <c r="M444" s="414">
        <f t="shared" ref="M444:M452" si="306">+K444-G444</f>
        <v>0</v>
      </c>
      <c r="N444" s="3135"/>
      <c r="O444" s="218"/>
    </row>
    <row r="445" spans="1:15" ht="13.5" customHeight="1" x14ac:dyDescent="0.2">
      <c r="A445" s="3131"/>
      <c r="B445" s="242" t="s">
        <v>17</v>
      </c>
      <c r="C445" s="3100" t="s">
        <v>33</v>
      </c>
      <c r="D445" s="1170">
        <f>SUM(D446:D448)</f>
        <v>20000000</v>
      </c>
      <c r="E445" s="1171">
        <f>SUM(E446:E448)</f>
        <v>10000000</v>
      </c>
      <c r="F445" s="1171">
        <f>SUM(F446:F448)</f>
        <v>10000000</v>
      </c>
      <c r="G445" s="1172">
        <f>SUM(G446:G448)</f>
        <v>0</v>
      </c>
      <c r="H445" s="275">
        <f>SUM(H446:H448)</f>
        <v>0</v>
      </c>
      <c r="I445" s="1173">
        <f>+K445+F445+E445</f>
        <v>20000000</v>
      </c>
      <c r="J445" s="1174">
        <f t="shared" si="285"/>
        <v>100</v>
      </c>
      <c r="K445" s="1171">
        <f>+K446+K447+K448</f>
        <v>0</v>
      </c>
      <c r="L445" s="1175">
        <v>0</v>
      </c>
      <c r="M445" s="416">
        <f t="shared" si="306"/>
        <v>0</v>
      </c>
      <c r="N445" s="3135"/>
      <c r="O445" s="218"/>
    </row>
    <row r="446" spans="1:15" ht="13.5" customHeight="1" x14ac:dyDescent="0.2">
      <c r="A446" s="3131"/>
      <c r="B446" s="1176" t="s">
        <v>4</v>
      </c>
      <c r="C446" s="3100"/>
      <c r="D446" s="1177">
        <f t="shared" ref="D446:D452" si="307">SUM(E446:H446)</f>
        <v>4700000</v>
      </c>
      <c r="E446" s="1046">
        <v>2706250</v>
      </c>
      <c r="F446" s="1046">
        <v>1993750</v>
      </c>
      <c r="G446" s="1178">
        <v>0</v>
      </c>
      <c r="H446" s="794">
        <v>0</v>
      </c>
      <c r="I446" s="1178">
        <f>+K446+F446+E446</f>
        <v>4700000</v>
      </c>
      <c r="J446" s="780">
        <f t="shared" si="285"/>
        <v>100</v>
      </c>
      <c r="K446" s="1046">
        <v>0</v>
      </c>
      <c r="L446" s="782">
        <v>0</v>
      </c>
      <c r="M446" s="417">
        <f t="shared" si="306"/>
        <v>0</v>
      </c>
      <c r="N446" s="3135"/>
      <c r="O446" s="218"/>
    </row>
    <row r="447" spans="1:15" ht="13.5" customHeight="1" x14ac:dyDescent="0.2">
      <c r="A447" s="3131"/>
      <c r="B447" s="1176" t="s">
        <v>86</v>
      </c>
      <c r="C447" s="3100"/>
      <c r="D447" s="1177">
        <f t="shared" si="307"/>
        <v>14587500</v>
      </c>
      <c r="E447" s="1046">
        <v>7293750</v>
      </c>
      <c r="F447" s="1046">
        <v>7293750</v>
      </c>
      <c r="G447" s="1178">
        <v>0</v>
      </c>
      <c r="H447" s="794">
        <v>0</v>
      </c>
      <c r="I447" s="1178">
        <f>+K447+F447+E447</f>
        <v>14587500</v>
      </c>
      <c r="J447" s="780">
        <f t="shared" si="285"/>
        <v>100</v>
      </c>
      <c r="K447" s="1046">
        <v>0</v>
      </c>
      <c r="L447" s="782">
        <v>0</v>
      </c>
      <c r="M447" s="417">
        <f t="shared" si="306"/>
        <v>0</v>
      </c>
      <c r="N447" s="3135"/>
      <c r="O447" s="218"/>
    </row>
    <row r="448" spans="1:15" ht="12" customHeight="1" x14ac:dyDescent="0.2">
      <c r="A448" s="3131"/>
      <c r="B448" s="1179" t="s">
        <v>89</v>
      </c>
      <c r="C448" s="3137"/>
      <c r="D448" s="1177">
        <f t="shared" si="307"/>
        <v>712500</v>
      </c>
      <c r="E448" s="250">
        <v>0</v>
      </c>
      <c r="F448" s="1046">
        <v>712500</v>
      </c>
      <c r="G448" s="1180">
        <v>0</v>
      </c>
      <c r="H448" s="248">
        <v>0</v>
      </c>
      <c r="I448" s="1178">
        <f>+K448+F448+E448</f>
        <v>712500</v>
      </c>
      <c r="J448" s="780">
        <f t="shared" si="285"/>
        <v>100</v>
      </c>
      <c r="K448" s="1046">
        <v>0</v>
      </c>
      <c r="L448" s="782">
        <v>0</v>
      </c>
      <c r="M448" s="417">
        <f t="shared" si="306"/>
        <v>0</v>
      </c>
      <c r="N448" s="3135"/>
      <c r="O448" s="218"/>
    </row>
    <row r="449" spans="1:130" s="266" customFormat="1" ht="11.25" customHeight="1" x14ac:dyDescent="0.2">
      <c r="A449" s="3131"/>
      <c r="B449" s="220" t="s">
        <v>16</v>
      </c>
      <c r="C449" s="25"/>
      <c r="D449" s="233">
        <f t="shared" si="307"/>
        <v>15300000</v>
      </c>
      <c r="E449" s="234">
        <f>+E450</f>
        <v>8006250</v>
      </c>
      <c r="F449" s="234">
        <f>+F450</f>
        <v>7293750</v>
      </c>
      <c r="G449" s="744">
        <f>+G450</f>
        <v>0</v>
      </c>
      <c r="H449" s="261">
        <f>+H450</f>
        <v>0</v>
      </c>
      <c r="I449" s="241">
        <f>+I450</f>
        <v>15300000</v>
      </c>
      <c r="J449" s="1168">
        <f t="shared" si="285"/>
        <v>100</v>
      </c>
      <c r="K449" s="234">
        <f>+K450</f>
        <v>0</v>
      </c>
      <c r="L449" s="1169">
        <v>0</v>
      </c>
      <c r="M449" s="241">
        <f t="shared" si="306"/>
        <v>0</v>
      </c>
      <c r="N449" s="3135"/>
      <c r="O449" s="218"/>
    </row>
    <row r="450" spans="1:130" s="293" customFormat="1" ht="12.75" customHeight="1" x14ac:dyDescent="0.2">
      <c r="A450" s="3132"/>
      <c r="B450" s="242" t="s">
        <v>17</v>
      </c>
      <c r="C450" s="3100" t="s">
        <v>33</v>
      </c>
      <c r="D450" s="277">
        <f t="shared" si="307"/>
        <v>15300000</v>
      </c>
      <c r="E450" s="278">
        <f>E451+E452</f>
        <v>8006250</v>
      </c>
      <c r="F450" s="842">
        <f>F451+F452</f>
        <v>7293750</v>
      </c>
      <c r="G450" s="1181">
        <f>G451+G452</f>
        <v>0</v>
      </c>
      <c r="H450" s="282">
        <f>H451+H452</f>
        <v>0</v>
      </c>
      <c r="I450" s="842">
        <f>I451+I452</f>
        <v>15300000</v>
      </c>
      <c r="J450" s="1174">
        <f t="shared" si="285"/>
        <v>100</v>
      </c>
      <c r="K450" s="842">
        <f>+K451+K452</f>
        <v>0</v>
      </c>
      <c r="L450" s="1175">
        <v>0</v>
      </c>
      <c r="M450" s="397">
        <f t="shared" si="306"/>
        <v>0</v>
      </c>
      <c r="N450" s="3135"/>
      <c r="O450" s="218"/>
    </row>
    <row r="451" spans="1:130" s="293" customFormat="1" ht="12.75" customHeight="1" x14ac:dyDescent="0.2">
      <c r="A451" s="3132"/>
      <c r="B451" s="1176" t="s">
        <v>86</v>
      </c>
      <c r="C451" s="3100"/>
      <c r="D451" s="1182">
        <f t="shared" si="307"/>
        <v>14587500</v>
      </c>
      <c r="E451" s="1183">
        <v>7293750</v>
      </c>
      <c r="F451" s="1046">
        <v>7293750</v>
      </c>
      <c r="G451" s="1184">
        <v>0</v>
      </c>
      <c r="H451" s="269">
        <v>0</v>
      </c>
      <c r="I451" s="1178">
        <f>+K451+F451+E451</f>
        <v>14587500</v>
      </c>
      <c r="J451" s="780">
        <f t="shared" si="285"/>
        <v>100</v>
      </c>
      <c r="K451" s="417">
        <v>0</v>
      </c>
      <c r="L451" s="782">
        <v>0</v>
      </c>
      <c r="M451" s="417">
        <f t="shared" si="306"/>
        <v>0</v>
      </c>
      <c r="N451" s="3135"/>
      <c r="O451" s="218"/>
    </row>
    <row r="452" spans="1:130" s="293" customFormat="1" ht="13.5" customHeight="1" thickBot="1" x14ac:dyDescent="0.25">
      <c r="A452" s="3133"/>
      <c r="B452" s="1185" t="s">
        <v>89</v>
      </c>
      <c r="C452" s="3114"/>
      <c r="D452" s="1182">
        <f t="shared" si="307"/>
        <v>712500</v>
      </c>
      <c r="E452" s="1186">
        <v>712500</v>
      </c>
      <c r="F452" s="818">
        <v>0</v>
      </c>
      <c r="G452" s="1187">
        <v>0</v>
      </c>
      <c r="H452" s="855">
        <v>0</v>
      </c>
      <c r="I452" s="1178">
        <f>+K452+F452+E452</f>
        <v>712500</v>
      </c>
      <c r="J452" s="780">
        <f t="shared" si="285"/>
        <v>100</v>
      </c>
      <c r="K452" s="1188">
        <v>0</v>
      </c>
      <c r="L452" s="782">
        <v>0</v>
      </c>
      <c r="M452" s="417">
        <f t="shared" si="306"/>
        <v>0</v>
      </c>
      <c r="N452" s="3136"/>
      <c r="O452" s="218"/>
    </row>
    <row r="453" spans="1:130" ht="37.5" customHeight="1" x14ac:dyDescent="0.2">
      <c r="A453" s="3123" t="s">
        <v>35</v>
      </c>
      <c r="B453" s="766" t="s">
        <v>254</v>
      </c>
      <c r="C453" s="418" t="s">
        <v>166</v>
      </c>
      <c r="D453" s="291"/>
      <c r="E453" s="292"/>
      <c r="F453" s="292"/>
      <c r="G453" s="292"/>
      <c r="H453" s="419"/>
      <c r="I453" s="237"/>
      <c r="J453" s="238"/>
      <c r="K453" s="238"/>
      <c r="L453" s="240"/>
      <c r="M453" s="240"/>
      <c r="N453" s="3127" t="s">
        <v>88</v>
      </c>
      <c r="O453" s="218"/>
    </row>
    <row r="454" spans="1:130" ht="13.5" customHeight="1" x14ac:dyDescent="0.2">
      <c r="A454" s="3124"/>
      <c r="B454" s="220" t="s">
        <v>2</v>
      </c>
      <c r="C454" s="25"/>
      <c r="D454" s="1189">
        <f t="shared" ref="D454:I454" si="308">+D455</f>
        <v>4617201</v>
      </c>
      <c r="E454" s="811">
        <f t="shared" si="308"/>
        <v>4267201</v>
      </c>
      <c r="F454" s="811">
        <f t="shared" si="308"/>
        <v>0</v>
      </c>
      <c r="G454" s="365">
        <f t="shared" si="308"/>
        <v>50000</v>
      </c>
      <c r="H454" s="365">
        <f t="shared" si="308"/>
        <v>300000</v>
      </c>
      <c r="I454" s="807">
        <f t="shared" si="308"/>
        <v>4267201</v>
      </c>
      <c r="J454" s="267">
        <f t="shared" si="285"/>
        <v>92.419649913443237</v>
      </c>
      <c r="K454" s="365">
        <f>+K455</f>
        <v>0</v>
      </c>
      <c r="L454" s="300">
        <v>0</v>
      </c>
      <c r="M454" s="414">
        <f t="shared" ref="M454:M460" si="309">+K454-G454</f>
        <v>-50000</v>
      </c>
      <c r="N454" s="3128"/>
      <c r="O454" s="218"/>
    </row>
    <row r="455" spans="1:130" ht="13.5" customHeight="1" x14ac:dyDescent="0.2">
      <c r="A455" s="3124"/>
      <c r="B455" s="242" t="s">
        <v>17</v>
      </c>
      <c r="C455" s="3100" t="s">
        <v>96</v>
      </c>
      <c r="D455" s="833">
        <f>+D456+D457</f>
        <v>4617201</v>
      </c>
      <c r="E455" s="814">
        <f>+E456+E457</f>
        <v>4267201</v>
      </c>
      <c r="F455" s="814">
        <f>++F456+F457</f>
        <v>0</v>
      </c>
      <c r="G455" s="1171">
        <f>++G456+G457</f>
        <v>50000</v>
      </c>
      <c r="H455" s="1171">
        <f>++H456+H457</f>
        <v>300000</v>
      </c>
      <c r="I455" s="812">
        <f>+I456+I457</f>
        <v>4267201</v>
      </c>
      <c r="J455" s="144">
        <f t="shared" si="285"/>
        <v>92.419649913443237</v>
      </c>
      <c r="K455" s="1171">
        <v>0</v>
      </c>
      <c r="L455" s="302">
        <v>0</v>
      </c>
      <c r="M455" s="416">
        <f t="shared" si="309"/>
        <v>-50000</v>
      </c>
      <c r="N455" s="3128"/>
      <c r="O455" s="218"/>
    </row>
    <row r="456" spans="1:130" ht="13.5" customHeight="1" x14ac:dyDescent="0.2">
      <c r="A456" s="3124"/>
      <c r="B456" s="243" t="s">
        <v>4</v>
      </c>
      <c r="C456" s="3101"/>
      <c r="D456" s="1190">
        <f>+E456+F456+G456+H456</f>
        <v>1772974</v>
      </c>
      <c r="E456" s="1191">
        <f>139894+1247247+35833</f>
        <v>1422974</v>
      </c>
      <c r="F456" s="1191">
        <v>0</v>
      </c>
      <c r="G456" s="1046">
        <v>50000</v>
      </c>
      <c r="H456" s="1046">
        <v>300000</v>
      </c>
      <c r="I456" s="244">
        <f>+K456+F456+E456</f>
        <v>1422974</v>
      </c>
      <c r="J456" s="249">
        <f t="shared" si="285"/>
        <v>80.259157776707397</v>
      </c>
      <c r="K456" s="1046">
        <v>0</v>
      </c>
      <c r="L456" s="251">
        <v>0</v>
      </c>
      <c r="M456" s="417">
        <f t="shared" si="309"/>
        <v>-50000</v>
      </c>
      <c r="N456" s="3128"/>
      <c r="O456" s="218"/>
    </row>
    <row r="457" spans="1:130" ht="13.5" customHeight="1" x14ac:dyDescent="0.2">
      <c r="A457" s="3124"/>
      <c r="B457" s="243" t="s">
        <v>56</v>
      </c>
      <c r="C457" s="3101"/>
      <c r="D457" s="1190">
        <f>+E457+F457+G457+H457</f>
        <v>2844227</v>
      </c>
      <c r="E457" s="1191">
        <f>279786+2494494+69947</f>
        <v>2844227</v>
      </c>
      <c r="F457" s="1191">
        <v>0</v>
      </c>
      <c r="G457" s="877">
        <v>0</v>
      </c>
      <c r="H457" s="1192">
        <v>0</v>
      </c>
      <c r="I457" s="244">
        <f>+K457+F457+E457</f>
        <v>2844227</v>
      </c>
      <c r="J457" s="249">
        <f t="shared" si="285"/>
        <v>100</v>
      </c>
      <c r="K457" s="877">
        <v>0</v>
      </c>
      <c r="L457" s="251">
        <v>0</v>
      </c>
      <c r="M457" s="417">
        <f t="shared" si="309"/>
        <v>0</v>
      </c>
      <c r="N457" s="3128"/>
      <c r="O457" s="218"/>
    </row>
    <row r="458" spans="1:130" s="266" customFormat="1" ht="12.75" customHeight="1" x14ac:dyDescent="0.2">
      <c r="A458" s="3125"/>
      <c r="B458" s="220" t="s">
        <v>16</v>
      </c>
      <c r="C458" s="25"/>
      <c r="D458" s="1189">
        <f>+D459</f>
        <v>2844227</v>
      </c>
      <c r="E458" s="811">
        <f>+E459</f>
        <v>2844227</v>
      </c>
      <c r="F458" s="811">
        <f t="shared" ref="F458:H459" si="310">+F459</f>
        <v>0</v>
      </c>
      <c r="G458" s="943">
        <f t="shared" si="310"/>
        <v>0</v>
      </c>
      <c r="H458" s="1193">
        <f t="shared" si="310"/>
        <v>0</v>
      </c>
      <c r="I458" s="807">
        <f>+I459</f>
        <v>2844227</v>
      </c>
      <c r="J458" s="267">
        <f t="shared" si="285"/>
        <v>100</v>
      </c>
      <c r="K458" s="943">
        <f>+K459</f>
        <v>0</v>
      </c>
      <c r="L458" s="300">
        <v>0</v>
      </c>
      <c r="M458" s="241">
        <f t="shared" si="309"/>
        <v>0</v>
      </c>
      <c r="N458" s="3128"/>
      <c r="O458" s="218"/>
    </row>
    <row r="459" spans="1:130" ht="13.5" customHeight="1" x14ac:dyDescent="0.2">
      <c r="A459" s="3125"/>
      <c r="B459" s="351" t="s">
        <v>17</v>
      </c>
      <c r="C459" s="3100" t="s">
        <v>96</v>
      </c>
      <c r="D459" s="833">
        <f>+D460</f>
        <v>2844227</v>
      </c>
      <c r="E459" s="814">
        <f>+E460</f>
        <v>2844227</v>
      </c>
      <c r="F459" s="814">
        <f t="shared" si="310"/>
        <v>0</v>
      </c>
      <c r="G459" s="944">
        <f t="shared" si="310"/>
        <v>0</v>
      </c>
      <c r="H459" s="1194">
        <f t="shared" si="310"/>
        <v>0</v>
      </c>
      <c r="I459" s="812">
        <f>+K459+F459+E459</f>
        <v>2844227</v>
      </c>
      <c r="J459" s="144">
        <f t="shared" si="285"/>
        <v>100</v>
      </c>
      <c r="K459" s="944">
        <f>+K460</f>
        <v>0</v>
      </c>
      <c r="L459" s="302">
        <v>0</v>
      </c>
      <c r="M459" s="397">
        <f t="shared" si="309"/>
        <v>0</v>
      </c>
      <c r="N459" s="3128"/>
      <c r="O459" s="218"/>
    </row>
    <row r="460" spans="1:130" ht="13.5" customHeight="1" thickBot="1" x14ac:dyDescent="0.25">
      <c r="A460" s="3126"/>
      <c r="B460" s="280" t="s">
        <v>56</v>
      </c>
      <c r="C460" s="3104"/>
      <c r="D460" s="420">
        <f>+E460+F460+G460+H460</f>
        <v>2844227</v>
      </c>
      <c r="E460" s="421">
        <f>279786+2494494+69947</f>
        <v>2844227</v>
      </c>
      <c r="F460" s="421">
        <v>0</v>
      </c>
      <c r="G460" s="874">
        <v>0</v>
      </c>
      <c r="H460" s="1195">
        <v>0</v>
      </c>
      <c r="I460" s="845">
        <f>+K460+F460+E460</f>
        <v>2844227</v>
      </c>
      <c r="J460" s="270">
        <f t="shared" si="285"/>
        <v>100</v>
      </c>
      <c r="K460" s="874">
        <v>0</v>
      </c>
      <c r="L460" s="830">
        <v>0</v>
      </c>
      <c r="M460" s="417">
        <f t="shared" si="309"/>
        <v>0</v>
      </c>
      <c r="N460" s="3129"/>
      <c r="O460" s="218"/>
    </row>
    <row r="461" spans="1:130" s="423" customFormat="1" ht="25.5" hidden="1" customHeight="1" x14ac:dyDescent="0.2">
      <c r="A461" s="3105" t="s">
        <v>40</v>
      </c>
      <c r="B461" s="295"/>
      <c r="C461" s="418" t="s">
        <v>166</v>
      </c>
      <c r="D461" s="291"/>
      <c r="E461" s="292"/>
      <c r="F461" s="292"/>
      <c r="G461" s="292"/>
      <c r="H461" s="419"/>
      <c r="I461" s="237"/>
      <c r="J461" s="238"/>
      <c r="K461" s="238"/>
      <c r="L461" s="240"/>
      <c r="M461" s="240"/>
      <c r="N461" s="3097" t="s">
        <v>95</v>
      </c>
      <c r="O461" s="218"/>
      <c r="P461" s="422"/>
      <c r="Q461" s="422"/>
      <c r="R461" s="422"/>
      <c r="S461" s="422"/>
      <c r="T461" s="422"/>
      <c r="U461" s="422"/>
      <c r="V461" s="422"/>
      <c r="W461" s="422"/>
      <c r="X461" s="422"/>
      <c r="Y461" s="422"/>
      <c r="Z461" s="422"/>
      <c r="AA461" s="422"/>
      <c r="AB461" s="422"/>
      <c r="AC461" s="422"/>
      <c r="AD461" s="422"/>
      <c r="AE461" s="422"/>
      <c r="AF461" s="422"/>
      <c r="AG461" s="422"/>
      <c r="AH461" s="422"/>
      <c r="AI461" s="422"/>
      <c r="AJ461" s="422"/>
      <c r="AK461" s="422"/>
      <c r="AL461" s="422"/>
      <c r="AM461" s="422"/>
      <c r="AN461" s="422"/>
      <c r="AO461" s="422"/>
      <c r="AP461" s="422"/>
      <c r="AQ461" s="422"/>
      <c r="AR461" s="422"/>
      <c r="AS461" s="422"/>
      <c r="AT461" s="422"/>
      <c r="AU461" s="422"/>
      <c r="AV461" s="422"/>
      <c r="AW461" s="422"/>
      <c r="AX461" s="422"/>
      <c r="AY461" s="422"/>
      <c r="AZ461" s="422"/>
      <c r="BA461" s="422"/>
      <c r="BB461" s="422"/>
      <c r="BC461" s="422"/>
      <c r="BD461" s="422"/>
      <c r="BE461" s="422"/>
      <c r="BF461" s="422"/>
      <c r="BG461" s="422"/>
      <c r="BH461" s="422"/>
      <c r="BI461" s="422"/>
      <c r="BJ461" s="422"/>
      <c r="BK461" s="422"/>
      <c r="BL461" s="422"/>
      <c r="BM461" s="422"/>
      <c r="BN461" s="422"/>
      <c r="BO461" s="422"/>
      <c r="BP461" s="422"/>
      <c r="BQ461" s="422"/>
      <c r="BR461" s="422"/>
      <c r="BS461" s="422"/>
      <c r="BT461" s="422"/>
      <c r="BU461" s="422"/>
      <c r="BV461" s="422"/>
      <c r="BW461" s="422"/>
      <c r="BX461" s="422"/>
      <c r="BY461" s="422"/>
      <c r="BZ461" s="422"/>
      <c r="CA461" s="422"/>
      <c r="CB461" s="422"/>
      <c r="CC461" s="422"/>
      <c r="CD461" s="422"/>
      <c r="CE461" s="422"/>
      <c r="CF461" s="422"/>
      <c r="CG461" s="422"/>
      <c r="CH461" s="422"/>
      <c r="CI461" s="422"/>
      <c r="CJ461" s="422"/>
      <c r="CK461" s="422"/>
      <c r="CL461" s="422"/>
      <c r="CM461" s="422"/>
      <c r="CN461" s="422"/>
      <c r="CO461" s="422"/>
      <c r="CP461" s="422"/>
      <c r="CQ461" s="422"/>
      <c r="CR461" s="422"/>
      <c r="CS461" s="422"/>
      <c r="CT461" s="422"/>
      <c r="CU461" s="422"/>
      <c r="CV461" s="422"/>
      <c r="CW461" s="422"/>
      <c r="CX461" s="422"/>
      <c r="CY461" s="422"/>
      <c r="CZ461" s="422"/>
      <c r="DA461" s="422"/>
      <c r="DB461" s="422"/>
      <c r="DC461" s="422"/>
      <c r="DD461" s="422"/>
      <c r="DE461" s="422"/>
      <c r="DF461" s="422"/>
      <c r="DG461" s="422"/>
      <c r="DH461" s="422"/>
      <c r="DI461" s="422"/>
      <c r="DJ461" s="422"/>
      <c r="DK461" s="422"/>
      <c r="DL461" s="422"/>
      <c r="DM461" s="422"/>
      <c r="DN461" s="422"/>
      <c r="DO461" s="422"/>
      <c r="DP461" s="422"/>
      <c r="DQ461" s="422"/>
      <c r="DR461" s="422"/>
      <c r="DS461" s="422"/>
      <c r="DT461" s="422"/>
      <c r="DU461" s="422"/>
      <c r="DV461" s="422"/>
      <c r="DW461" s="422"/>
      <c r="DX461" s="422"/>
      <c r="DY461" s="422"/>
      <c r="DZ461" s="422"/>
    </row>
    <row r="462" spans="1:130" s="422" customFormat="1" ht="12.75" hidden="1" customHeight="1" x14ac:dyDescent="0.2">
      <c r="A462" s="3106"/>
      <c r="B462" s="220" t="s">
        <v>2</v>
      </c>
      <c r="C462" s="25"/>
      <c r="D462" s="424"/>
      <c r="E462" s="414"/>
      <c r="F462" s="414"/>
      <c r="G462" s="414"/>
      <c r="H462" s="369"/>
      <c r="I462" s="364"/>
      <c r="J462" s="267"/>
      <c r="K462" s="365"/>
      <c r="L462" s="271"/>
      <c r="M462" s="414">
        <f>+K462-G462</f>
        <v>0</v>
      </c>
      <c r="N462" s="3098"/>
      <c r="O462" s="218"/>
    </row>
    <row r="463" spans="1:130" s="422" customFormat="1" ht="13.5" hidden="1" customHeight="1" x14ac:dyDescent="0.2">
      <c r="A463" s="3106"/>
      <c r="B463" s="351" t="s">
        <v>17</v>
      </c>
      <c r="C463" s="3100" t="s">
        <v>38</v>
      </c>
      <c r="D463" s="425"/>
      <c r="E463" s="426"/>
      <c r="F463" s="426"/>
      <c r="G463" s="426"/>
      <c r="H463" s="427"/>
      <c r="I463" s="415"/>
      <c r="J463" s="144"/>
      <c r="K463" s="428"/>
      <c r="L463" s="294"/>
      <c r="M463" s="416">
        <f>+K463-G463</f>
        <v>0</v>
      </c>
      <c r="N463" s="3098"/>
      <c r="O463" s="218"/>
    </row>
    <row r="464" spans="1:130" s="422" customFormat="1" ht="14.25" hidden="1" customHeight="1" thickBot="1" x14ac:dyDescent="0.25">
      <c r="A464" s="3107"/>
      <c r="B464" s="280" t="s">
        <v>4</v>
      </c>
      <c r="C464" s="3104"/>
      <c r="D464" s="420"/>
      <c r="E464" s="421"/>
      <c r="F464" s="421"/>
      <c r="G464" s="421"/>
      <c r="H464" s="429"/>
      <c r="I464" s="262"/>
      <c r="J464" s="249"/>
      <c r="K464" s="283"/>
      <c r="L464" s="276"/>
      <c r="M464" s="417">
        <f>+K464-G464</f>
        <v>0</v>
      </c>
      <c r="N464" s="3103"/>
      <c r="O464" s="218"/>
    </row>
    <row r="465" spans="1:15" ht="22.5" customHeight="1" x14ac:dyDescent="0.2">
      <c r="A465" s="3108" t="s">
        <v>40</v>
      </c>
      <c r="B465" s="1159" t="s">
        <v>255</v>
      </c>
      <c r="C465" s="418" t="s">
        <v>166</v>
      </c>
      <c r="D465" s="1161"/>
      <c r="E465" s="1162"/>
      <c r="F465" s="1162"/>
      <c r="G465" s="1162"/>
      <c r="H465" s="1164"/>
      <c r="I465" s="1161"/>
      <c r="J465" s="1162"/>
      <c r="K465" s="1162"/>
      <c r="L465" s="1165"/>
      <c r="M465" s="1165"/>
      <c r="N465" s="3111" t="s">
        <v>93</v>
      </c>
      <c r="O465" s="218"/>
    </row>
    <row r="466" spans="1:15" x14ac:dyDescent="0.2">
      <c r="A466" s="3109"/>
      <c r="B466" s="846" t="s">
        <v>2</v>
      </c>
      <c r="C466" s="25"/>
      <c r="D466" s="364">
        <f>+D467</f>
        <v>45607289</v>
      </c>
      <c r="E466" s="365">
        <f t="shared" ref="E466:I467" si="311">+E467</f>
        <v>12201289</v>
      </c>
      <c r="F466" s="365">
        <f t="shared" si="311"/>
        <v>4200000</v>
      </c>
      <c r="G466" s="365">
        <f t="shared" si="311"/>
        <v>5002000</v>
      </c>
      <c r="H466" s="369">
        <f t="shared" si="311"/>
        <v>24204000</v>
      </c>
      <c r="I466" s="364">
        <f t="shared" si="311"/>
        <v>16401289</v>
      </c>
      <c r="J466" s="1168">
        <f t="shared" si="285"/>
        <v>35.961990637066812</v>
      </c>
      <c r="K466" s="365">
        <f>+K467</f>
        <v>0</v>
      </c>
      <c r="L466" s="1196">
        <f t="shared" ref="L466:L516" si="312">K466/G466*100</f>
        <v>0</v>
      </c>
      <c r="M466" s="414">
        <f>+K466-G466</f>
        <v>-5002000</v>
      </c>
      <c r="N466" s="3112"/>
      <c r="O466" s="218"/>
    </row>
    <row r="467" spans="1:15" x14ac:dyDescent="0.2">
      <c r="A467" s="3109"/>
      <c r="B467" s="849" t="s">
        <v>17</v>
      </c>
      <c r="C467" s="3100" t="s">
        <v>96</v>
      </c>
      <c r="D467" s="415">
        <f>+D468</f>
        <v>45607289</v>
      </c>
      <c r="E467" s="428">
        <f t="shared" si="311"/>
        <v>12201289</v>
      </c>
      <c r="F467" s="1171">
        <f t="shared" si="311"/>
        <v>4200000</v>
      </c>
      <c r="G467" s="428">
        <f t="shared" si="311"/>
        <v>5002000</v>
      </c>
      <c r="H467" s="1197">
        <f t="shared" si="311"/>
        <v>24204000</v>
      </c>
      <c r="I467" s="1170">
        <f t="shared" si="311"/>
        <v>16401289</v>
      </c>
      <c r="J467" s="1174">
        <f t="shared" si="285"/>
        <v>35.961990637066812</v>
      </c>
      <c r="K467" s="1171">
        <f>+K468</f>
        <v>0</v>
      </c>
      <c r="L467" s="1198">
        <f t="shared" si="312"/>
        <v>0</v>
      </c>
      <c r="M467" s="416">
        <f>+K467-G467</f>
        <v>-5002000</v>
      </c>
      <c r="N467" s="3112"/>
      <c r="O467" s="218"/>
    </row>
    <row r="468" spans="1:15" ht="13.5" thickBot="1" x14ac:dyDescent="0.25">
      <c r="A468" s="3110"/>
      <c r="B468" s="1199" t="s">
        <v>4</v>
      </c>
      <c r="C468" s="3114"/>
      <c r="D468" s="262">
        <f>+E468+F468+G468+H468</f>
        <v>45607289</v>
      </c>
      <c r="E468" s="263">
        <f>7100000+1800000+3301289</f>
        <v>12201289</v>
      </c>
      <c r="F468" s="1200">
        <v>4200000</v>
      </c>
      <c r="G468" s="1201">
        <v>5002000</v>
      </c>
      <c r="H468" s="1202">
        <f>5002000+5002000+5000000+5000000+2700000+1500000</f>
        <v>24204000</v>
      </c>
      <c r="I468" s="264">
        <f>E468+F468+K468</f>
        <v>16401289</v>
      </c>
      <c r="J468" s="780">
        <f>I468/D468*100</f>
        <v>35.961990637066812</v>
      </c>
      <c r="K468" s="1200">
        <v>0</v>
      </c>
      <c r="L468" s="781">
        <f t="shared" si="312"/>
        <v>0</v>
      </c>
      <c r="M468" s="417">
        <f>+K468-G468</f>
        <v>-5002000</v>
      </c>
      <c r="N468" s="3113"/>
      <c r="O468" s="218"/>
    </row>
    <row r="469" spans="1:15" ht="24.75" customHeight="1" x14ac:dyDescent="0.2">
      <c r="A469" s="3094" t="s">
        <v>41</v>
      </c>
      <c r="B469" s="766" t="s">
        <v>275</v>
      </c>
      <c r="C469" s="418" t="s">
        <v>166</v>
      </c>
      <c r="D469" s="237"/>
      <c r="E469" s="238"/>
      <c r="F469" s="238"/>
      <c r="G469" s="238"/>
      <c r="H469" s="239"/>
      <c r="I469" s="237"/>
      <c r="J469" s="1162"/>
      <c r="K469" s="238"/>
      <c r="L469" s="1165"/>
      <c r="M469" s="240"/>
      <c r="N469" s="3097" t="s">
        <v>95</v>
      </c>
      <c r="O469" s="218"/>
    </row>
    <row r="470" spans="1:15" x14ac:dyDescent="0.2">
      <c r="A470" s="3095"/>
      <c r="B470" s="220" t="s">
        <v>2</v>
      </c>
      <c r="C470" s="25"/>
      <c r="D470" s="807">
        <f>+D471</f>
        <v>423765</v>
      </c>
      <c r="E470" s="808">
        <f t="shared" ref="E470:H471" si="313">+E471</f>
        <v>408765</v>
      </c>
      <c r="F470" s="808">
        <f t="shared" si="313"/>
        <v>15000</v>
      </c>
      <c r="G470" s="808">
        <f t="shared" si="313"/>
        <v>0</v>
      </c>
      <c r="H470" s="848">
        <f t="shared" si="313"/>
        <v>0</v>
      </c>
      <c r="I470" s="1189">
        <f>+I471</f>
        <v>418535</v>
      </c>
      <c r="J470" s="267">
        <f t="shared" si="285"/>
        <v>98.76582539851097</v>
      </c>
      <c r="K470" s="808">
        <f>+K471</f>
        <v>0</v>
      </c>
      <c r="L470" s="300">
        <v>0</v>
      </c>
      <c r="M470" s="414">
        <f>+K470-G470</f>
        <v>0</v>
      </c>
      <c r="N470" s="3098"/>
      <c r="O470" s="218"/>
    </row>
    <row r="471" spans="1:15" ht="11.25" customHeight="1" x14ac:dyDescent="0.2">
      <c r="A471" s="3095"/>
      <c r="B471" s="242" t="s">
        <v>17</v>
      </c>
      <c r="C471" s="3100" t="s">
        <v>38</v>
      </c>
      <c r="D471" s="812">
        <f>+D472</f>
        <v>423765</v>
      </c>
      <c r="E471" s="813">
        <f t="shared" si="313"/>
        <v>408765</v>
      </c>
      <c r="F471" s="813">
        <f t="shared" si="313"/>
        <v>15000</v>
      </c>
      <c r="G471" s="813">
        <f t="shared" si="313"/>
        <v>0</v>
      </c>
      <c r="H471" s="850">
        <f t="shared" si="313"/>
        <v>0</v>
      </c>
      <c r="I471" s="833">
        <f>+I472</f>
        <v>418535</v>
      </c>
      <c r="J471" s="144">
        <f t="shared" si="285"/>
        <v>98.76582539851097</v>
      </c>
      <c r="K471" s="813">
        <f>+K472</f>
        <v>0</v>
      </c>
      <c r="L471" s="302">
        <v>0</v>
      </c>
      <c r="M471" s="416">
        <f>+K471-G471</f>
        <v>0</v>
      </c>
      <c r="N471" s="3098"/>
      <c r="O471" s="218"/>
    </row>
    <row r="472" spans="1:15" ht="13.5" thickBot="1" x14ac:dyDescent="0.25">
      <c r="A472" s="3096"/>
      <c r="B472" s="280" t="s">
        <v>4</v>
      </c>
      <c r="C472" s="3120"/>
      <c r="D472" s="262">
        <f>+E472+F472+G472+H472</f>
        <v>423765</v>
      </c>
      <c r="E472" s="263">
        <f>170789+237976</f>
        <v>408765</v>
      </c>
      <c r="F472" s="799">
        <v>15000</v>
      </c>
      <c r="G472" s="799">
        <v>0</v>
      </c>
      <c r="H472" s="829">
        <v>0</v>
      </c>
      <c r="I472" s="1221">
        <f>E472+F472+K472-5230</f>
        <v>418535</v>
      </c>
      <c r="J472" s="270">
        <f t="shared" si="285"/>
        <v>98.76582539851097</v>
      </c>
      <c r="K472" s="799">
        <v>0</v>
      </c>
      <c r="L472" s="830">
        <v>0</v>
      </c>
      <c r="M472" s="2055">
        <f>+K472-G472</f>
        <v>0</v>
      </c>
      <c r="N472" s="3103"/>
      <c r="O472" s="218"/>
    </row>
    <row r="473" spans="1:15" ht="12.75" customHeight="1" thickBot="1" x14ac:dyDescent="0.25">
      <c r="A473" s="3117" t="s">
        <v>43</v>
      </c>
      <c r="B473" s="831" t="s">
        <v>97</v>
      </c>
      <c r="C473" s="418" t="s">
        <v>166</v>
      </c>
      <c r="D473" s="237"/>
      <c r="E473" s="238"/>
      <c r="F473" s="238"/>
      <c r="G473" s="238"/>
      <c r="H473" s="239"/>
      <c r="I473" s="237"/>
      <c r="J473" s="1162"/>
      <c r="K473" s="238"/>
      <c r="L473" s="1165"/>
      <c r="M473" s="240"/>
      <c r="N473" s="3097" t="s">
        <v>95</v>
      </c>
      <c r="O473" s="218"/>
    </row>
    <row r="474" spans="1:15" ht="12.75" customHeight="1" thickBot="1" x14ac:dyDescent="0.25">
      <c r="A474" s="3117"/>
      <c r="B474" s="220" t="s">
        <v>2</v>
      </c>
      <c r="C474" s="25"/>
      <c r="D474" s="807">
        <f t="shared" ref="D474:I474" si="314">+D475</f>
        <v>68671294</v>
      </c>
      <c r="E474" s="808">
        <f t="shared" si="314"/>
        <v>44758329</v>
      </c>
      <c r="F474" s="808">
        <f t="shared" si="314"/>
        <v>23912965</v>
      </c>
      <c r="G474" s="808">
        <f t="shared" si="314"/>
        <v>0</v>
      </c>
      <c r="H474" s="848">
        <f t="shared" si="314"/>
        <v>0</v>
      </c>
      <c r="I474" s="1189">
        <f t="shared" si="314"/>
        <v>68669372</v>
      </c>
      <c r="J474" s="267">
        <f t="shared" si="285"/>
        <v>99.997201159483026</v>
      </c>
      <c r="K474" s="808">
        <f>+K475</f>
        <v>0</v>
      </c>
      <c r="L474" s="300">
        <v>0</v>
      </c>
      <c r="M474" s="414">
        <f t="shared" ref="M474:M480" si="315">+K474-G474</f>
        <v>0</v>
      </c>
      <c r="N474" s="3098"/>
      <c r="O474" s="218"/>
    </row>
    <row r="475" spans="1:15" ht="12.75" customHeight="1" thickBot="1" x14ac:dyDescent="0.25">
      <c r="A475" s="3117"/>
      <c r="B475" s="242" t="s">
        <v>17</v>
      </c>
      <c r="C475" s="3100" t="s">
        <v>38</v>
      </c>
      <c r="D475" s="812">
        <f>+D476+D477</f>
        <v>68671294</v>
      </c>
      <c r="E475" s="813">
        <f>+E476+E477</f>
        <v>44758329</v>
      </c>
      <c r="F475" s="813">
        <f>+F476+F477</f>
        <v>23912965</v>
      </c>
      <c r="G475" s="813">
        <f>++G476+G477</f>
        <v>0</v>
      </c>
      <c r="H475" s="850">
        <f>++H476+H477</f>
        <v>0</v>
      </c>
      <c r="I475" s="833">
        <f>+I476+I477</f>
        <v>68669372</v>
      </c>
      <c r="J475" s="144">
        <f t="shared" si="285"/>
        <v>99.997201159483026</v>
      </c>
      <c r="K475" s="813">
        <f>+K476+K477</f>
        <v>0</v>
      </c>
      <c r="L475" s="302">
        <v>0</v>
      </c>
      <c r="M475" s="416">
        <f t="shared" si="315"/>
        <v>0</v>
      </c>
      <c r="N475" s="3098"/>
      <c r="O475" s="218"/>
    </row>
    <row r="476" spans="1:15" ht="12.75" customHeight="1" thickBot="1" x14ac:dyDescent="0.25">
      <c r="A476" s="3117"/>
      <c r="B476" s="243" t="s">
        <v>4</v>
      </c>
      <c r="C476" s="3101"/>
      <c r="D476" s="244">
        <f>+E476+F476+G476+H476</f>
        <v>65151294</v>
      </c>
      <c r="E476" s="779">
        <f>21442291+22746038</f>
        <v>44188329</v>
      </c>
      <c r="F476" s="245">
        <v>20962965</v>
      </c>
      <c r="G476" s="245">
        <v>0</v>
      </c>
      <c r="H476" s="248">
        <v>0</v>
      </c>
      <c r="I476" s="1203">
        <f>E476+F476+K476-1922</f>
        <v>65149372</v>
      </c>
      <c r="J476" s="249">
        <f t="shared" si="285"/>
        <v>99.99704994347465</v>
      </c>
      <c r="K476" s="245"/>
      <c r="L476" s="251">
        <v>0</v>
      </c>
      <c r="M476" s="417">
        <f t="shared" si="315"/>
        <v>0</v>
      </c>
      <c r="N476" s="3098"/>
      <c r="O476" s="218"/>
    </row>
    <row r="477" spans="1:15" ht="12.75" customHeight="1" thickBot="1" x14ac:dyDescent="0.25">
      <c r="A477" s="3117"/>
      <c r="B477" s="243" t="s">
        <v>56</v>
      </c>
      <c r="C477" s="3101"/>
      <c r="D477" s="244">
        <f>+E477+F477+G477+H477</f>
        <v>3520000</v>
      </c>
      <c r="E477" s="779">
        <v>570000</v>
      </c>
      <c r="F477" s="245">
        <v>2950000</v>
      </c>
      <c r="G477" s="245">
        <v>0</v>
      </c>
      <c r="H477" s="248">
        <v>0</v>
      </c>
      <c r="I477" s="1203">
        <f>+K477+F477+E477</f>
        <v>3520000</v>
      </c>
      <c r="J477" s="249">
        <f t="shared" si="285"/>
        <v>100</v>
      </c>
      <c r="K477" s="245"/>
      <c r="L477" s="251">
        <v>0</v>
      </c>
      <c r="M477" s="417">
        <f t="shared" si="315"/>
        <v>0</v>
      </c>
      <c r="N477" s="3099"/>
      <c r="O477" s="218"/>
    </row>
    <row r="478" spans="1:15" s="266" customFormat="1" ht="12.75" customHeight="1" thickBot="1" x14ac:dyDescent="0.25">
      <c r="A478" s="3121"/>
      <c r="B478" s="220" t="s">
        <v>16</v>
      </c>
      <c r="C478" s="25"/>
      <c r="D478" s="770">
        <f t="shared" ref="D478:K478" si="316">+D479</f>
        <v>3520000</v>
      </c>
      <c r="E478" s="234">
        <f t="shared" si="316"/>
        <v>570000</v>
      </c>
      <c r="F478" s="1204">
        <f t="shared" si="316"/>
        <v>2950000</v>
      </c>
      <c r="G478" s="1204">
        <f t="shared" si="316"/>
        <v>0</v>
      </c>
      <c r="H478" s="261">
        <f t="shared" si="316"/>
        <v>0</v>
      </c>
      <c r="I478" s="770">
        <f t="shared" si="316"/>
        <v>3520000</v>
      </c>
      <c r="J478" s="267">
        <f t="shared" si="285"/>
        <v>100</v>
      </c>
      <c r="K478" s="1204">
        <f t="shared" si="316"/>
        <v>0</v>
      </c>
      <c r="L478" s="300">
        <v>0</v>
      </c>
      <c r="M478" s="414">
        <f t="shared" si="315"/>
        <v>0</v>
      </c>
      <c r="N478" s="3115" t="s">
        <v>88</v>
      </c>
      <c r="O478" s="218"/>
    </row>
    <row r="479" spans="1:15" ht="12.75" customHeight="1" thickBot="1" x14ac:dyDescent="0.25">
      <c r="A479" s="3121"/>
      <c r="B479" s="351" t="s">
        <v>17</v>
      </c>
      <c r="C479" s="3122" t="s">
        <v>38</v>
      </c>
      <c r="D479" s="833">
        <f t="shared" ref="D479:H479" si="317">+D480</f>
        <v>3520000</v>
      </c>
      <c r="E479" s="813">
        <f t="shared" si="317"/>
        <v>570000</v>
      </c>
      <c r="F479" s="813">
        <f t="shared" si="317"/>
        <v>2950000</v>
      </c>
      <c r="G479" s="813">
        <f t="shared" si="317"/>
        <v>0</v>
      </c>
      <c r="H479" s="850">
        <f t="shared" si="317"/>
        <v>0</v>
      </c>
      <c r="I479" s="833">
        <f>+K479+F479+E479</f>
        <v>3520000</v>
      </c>
      <c r="J479" s="144">
        <f t="shared" si="285"/>
        <v>100</v>
      </c>
      <c r="K479" s="813">
        <f>+K480</f>
        <v>0</v>
      </c>
      <c r="L479" s="302">
        <v>0</v>
      </c>
      <c r="M479" s="416">
        <f t="shared" si="315"/>
        <v>0</v>
      </c>
      <c r="N479" s="3116"/>
      <c r="O479" s="218"/>
    </row>
    <row r="480" spans="1:15" ht="12.75" customHeight="1" thickBot="1" x14ac:dyDescent="0.25">
      <c r="A480" s="3121"/>
      <c r="B480" s="280" t="s">
        <v>56</v>
      </c>
      <c r="C480" s="3116"/>
      <c r="D480" s="262">
        <f>+E480+F480+G480+H480</f>
        <v>3520000</v>
      </c>
      <c r="E480" s="263">
        <v>570000</v>
      </c>
      <c r="F480" s="799">
        <v>2950000</v>
      </c>
      <c r="G480" s="799">
        <v>0</v>
      </c>
      <c r="H480" s="272">
        <v>0</v>
      </c>
      <c r="I480" s="420">
        <f>+K480+F480+E480</f>
        <v>3520000</v>
      </c>
      <c r="J480" s="270">
        <f t="shared" si="285"/>
        <v>100</v>
      </c>
      <c r="K480" s="799"/>
      <c r="L480" s="830">
        <v>0</v>
      </c>
      <c r="M480" s="1200">
        <f t="shared" si="315"/>
        <v>0</v>
      </c>
      <c r="N480" s="3116"/>
      <c r="O480" s="218"/>
    </row>
    <row r="481" spans="1:15" ht="26.25" thickBot="1" x14ac:dyDescent="0.25">
      <c r="A481" s="3117" t="s">
        <v>44</v>
      </c>
      <c r="B481" s="831" t="s">
        <v>98</v>
      </c>
      <c r="C481" s="418" t="s">
        <v>166</v>
      </c>
      <c r="D481" s="237"/>
      <c r="E481" s="238"/>
      <c r="F481" s="238"/>
      <c r="G481" s="238"/>
      <c r="H481" s="239"/>
      <c r="I481" s="237"/>
      <c r="J481" s="238"/>
      <c r="K481" s="238"/>
      <c r="L481" s="240"/>
      <c r="M481" s="238"/>
      <c r="N481" s="3118" t="s">
        <v>95</v>
      </c>
      <c r="O481" s="218"/>
    </row>
    <row r="482" spans="1:15" ht="13.5" thickBot="1" x14ac:dyDescent="0.25">
      <c r="A482" s="3117"/>
      <c r="B482" s="220" t="s">
        <v>2</v>
      </c>
      <c r="C482" s="25"/>
      <c r="D482" s="807">
        <f t="shared" ref="D482:I483" si="318">+D483</f>
        <v>1743306</v>
      </c>
      <c r="E482" s="808">
        <f t="shared" si="318"/>
        <v>354120</v>
      </c>
      <c r="F482" s="808">
        <f t="shared" si="318"/>
        <v>1389186</v>
      </c>
      <c r="G482" s="808">
        <f t="shared" si="318"/>
        <v>0</v>
      </c>
      <c r="H482" s="865">
        <f t="shared" si="318"/>
        <v>0</v>
      </c>
      <c r="I482" s="1189">
        <f t="shared" si="318"/>
        <v>354120</v>
      </c>
      <c r="J482" s="267">
        <f t="shared" si="285"/>
        <v>20.31312919246535</v>
      </c>
      <c r="K482" s="808">
        <f>+K483</f>
        <v>0</v>
      </c>
      <c r="L482" s="300">
        <v>0</v>
      </c>
      <c r="M482" s="414">
        <f>+K482-G482</f>
        <v>0</v>
      </c>
      <c r="N482" s="3119"/>
      <c r="O482" s="218"/>
    </row>
    <row r="483" spans="1:15" ht="13.5" thickBot="1" x14ac:dyDescent="0.25">
      <c r="A483" s="3117"/>
      <c r="B483" s="242" t="s">
        <v>17</v>
      </c>
      <c r="C483" s="3100" t="s">
        <v>38</v>
      </c>
      <c r="D483" s="812">
        <f>+D484</f>
        <v>1743306</v>
      </c>
      <c r="E483" s="813">
        <f>+E484</f>
        <v>354120</v>
      </c>
      <c r="F483" s="813">
        <f t="shared" si="318"/>
        <v>1389186</v>
      </c>
      <c r="G483" s="813">
        <f t="shared" si="318"/>
        <v>0</v>
      </c>
      <c r="H483" s="866">
        <f t="shared" si="318"/>
        <v>0</v>
      </c>
      <c r="I483" s="833">
        <f>+I484</f>
        <v>354120</v>
      </c>
      <c r="J483" s="144">
        <f t="shared" si="285"/>
        <v>20.31312919246535</v>
      </c>
      <c r="K483" s="813">
        <f>+K484</f>
        <v>0</v>
      </c>
      <c r="L483" s="302">
        <v>0</v>
      </c>
      <c r="M483" s="416">
        <f>+K483-G483</f>
        <v>0</v>
      </c>
      <c r="N483" s="3119"/>
      <c r="O483" s="218"/>
    </row>
    <row r="484" spans="1:15" ht="13.5" customHeight="1" thickBot="1" x14ac:dyDescent="0.25">
      <c r="A484" s="3117"/>
      <c r="B484" s="243" t="s">
        <v>4</v>
      </c>
      <c r="C484" s="3101"/>
      <c r="D484" s="244">
        <f>+E484+F484+G484+H484</f>
        <v>1743306</v>
      </c>
      <c r="E484" s="779">
        <v>354120</v>
      </c>
      <c r="F484" s="245">
        <v>1389186</v>
      </c>
      <c r="G484" s="245">
        <v>0</v>
      </c>
      <c r="H484" s="285">
        <v>0</v>
      </c>
      <c r="I484" s="1203">
        <f>E484+F484+K484-1389186</f>
        <v>354120</v>
      </c>
      <c r="J484" s="249">
        <f t="shared" si="285"/>
        <v>20.31312919246535</v>
      </c>
      <c r="K484" s="245">
        <v>0</v>
      </c>
      <c r="L484" s="251">
        <v>0</v>
      </c>
      <c r="M484" s="417">
        <f>+K484-G484</f>
        <v>0</v>
      </c>
      <c r="N484" s="3119"/>
      <c r="O484" s="218"/>
    </row>
    <row r="485" spans="1:15" ht="26.25" customHeight="1" x14ac:dyDescent="0.2">
      <c r="A485" s="3094" t="s">
        <v>45</v>
      </c>
      <c r="B485" s="766" t="s">
        <v>256</v>
      </c>
      <c r="C485" s="418" t="s">
        <v>166</v>
      </c>
      <c r="D485" s="1161"/>
      <c r="E485" s="1162"/>
      <c r="F485" s="1162"/>
      <c r="G485" s="1162"/>
      <c r="H485" s="1164"/>
      <c r="I485" s="1161"/>
      <c r="J485" s="1162"/>
      <c r="K485" s="1162"/>
      <c r="L485" s="1165"/>
      <c r="M485" s="1165"/>
      <c r="N485" s="3097" t="s">
        <v>95</v>
      </c>
      <c r="O485" s="218"/>
    </row>
    <row r="486" spans="1:15" x14ac:dyDescent="0.2">
      <c r="A486" s="3095"/>
      <c r="B486" s="846" t="s">
        <v>2</v>
      </c>
      <c r="C486" s="25"/>
      <c r="D486" s="1205">
        <f t="shared" ref="D486:H487" si="319">+D487</f>
        <v>604278</v>
      </c>
      <c r="E486" s="1206">
        <f t="shared" si="319"/>
        <v>254278</v>
      </c>
      <c r="F486" s="1206">
        <f t="shared" si="319"/>
        <v>137917</v>
      </c>
      <c r="G486" s="1206">
        <f t="shared" si="319"/>
        <v>212083</v>
      </c>
      <c r="H486" s="1206">
        <f t="shared" si="319"/>
        <v>0</v>
      </c>
      <c r="I486" s="1205">
        <f>+I487</f>
        <v>392195</v>
      </c>
      <c r="J486" s="1168">
        <f t="shared" ref="J486:J516" si="320">I486/D486*100</f>
        <v>64.90307441277028</v>
      </c>
      <c r="K486" s="808">
        <f>+K487</f>
        <v>0</v>
      </c>
      <c r="L486" s="1196">
        <f t="shared" si="312"/>
        <v>0</v>
      </c>
      <c r="M486" s="414">
        <f t="shared" ref="M486:M492" si="321">+K486-G486</f>
        <v>-212083</v>
      </c>
      <c r="N486" s="3098"/>
      <c r="O486" s="218"/>
    </row>
    <row r="487" spans="1:15" x14ac:dyDescent="0.2">
      <c r="A487" s="3095"/>
      <c r="B487" s="849" t="s">
        <v>17</v>
      </c>
      <c r="C487" s="3100" t="s">
        <v>38</v>
      </c>
      <c r="D487" s="1170">
        <f>+D488+D489</f>
        <v>604278</v>
      </c>
      <c r="E487" s="1171">
        <f>+E488+E489</f>
        <v>254278</v>
      </c>
      <c r="F487" s="1171">
        <f>+F488+F489</f>
        <v>137917</v>
      </c>
      <c r="G487" s="1171">
        <f t="shared" si="319"/>
        <v>212083</v>
      </c>
      <c r="H487" s="1171">
        <f t="shared" si="319"/>
        <v>0</v>
      </c>
      <c r="I487" s="1170">
        <f>+I488+I489</f>
        <v>392195</v>
      </c>
      <c r="J487" s="1174">
        <f t="shared" si="320"/>
        <v>64.90307441277028</v>
      </c>
      <c r="K487" s="813">
        <f>+K488+K489</f>
        <v>0</v>
      </c>
      <c r="L487" s="1198">
        <f t="shared" si="312"/>
        <v>0</v>
      </c>
      <c r="M487" s="416">
        <f t="shared" si="321"/>
        <v>-212083</v>
      </c>
      <c r="N487" s="3098"/>
      <c r="O487" s="218"/>
    </row>
    <row r="488" spans="1:15" x14ac:dyDescent="0.2">
      <c r="A488" s="3095"/>
      <c r="B488" s="243" t="s">
        <v>4</v>
      </c>
      <c r="C488" s="3101"/>
      <c r="D488" s="244">
        <f>+E488+F488+G488+H488</f>
        <v>581400</v>
      </c>
      <c r="E488" s="779">
        <f>228400+3000</f>
        <v>231400</v>
      </c>
      <c r="F488" s="779">
        <v>137917</v>
      </c>
      <c r="G488" s="779">
        <v>212083</v>
      </c>
      <c r="H488" s="779">
        <v>0</v>
      </c>
      <c r="I488" s="246">
        <f>E488+F488+K488-34125</f>
        <v>335192</v>
      </c>
      <c r="J488" s="780">
        <f t="shared" si="320"/>
        <v>57.652562779497764</v>
      </c>
      <c r="K488" s="245">
        <v>0</v>
      </c>
      <c r="L488" s="781">
        <f t="shared" si="312"/>
        <v>0</v>
      </c>
      <c r="M488" s="417">
        <f t="shared" si="321"/>
        <v>-212083</v>
      </c>
      <c r="N488" s="3098"/>
      <c r="O488" s="218"/>
    </row>
    <row r="489" spans="1:15" x14ac:dyDescent="0.2">
      <c r="A489" s="3095"/>
      <c r="B489" s="243" t="s">
        <v>56</v>
      </c>
      <c r="C489" s="3101"/>
      <c r="D489" s="244">
        <f>+E489+F489+G489+H489</f>
        <v>22878</v>
      </c>
      <c r="E489" s="779">
        <v>22878</v>
      </c>
      <c r="F489" s="779">
        <v>0</v>
      </c>
      <c r="G489" s="779">
        <v>0</v>
      </c>
      <c r="H489" s="248">
        <v>0</v>
      </c>
      <c r="I489" s="246">
        <f>+K489+F489+E489+34125</f>
        <v>57003</v>
      </c>
      <c r="J489" s="780">
        <f t="shared" si="320"/>
        <v>249.1607658012064</v>
      </c>
      <c r="K489" s="245">
        <v>0</v>
      </c>
      <c r="L489" s="782">
        <v>0</v>
      </c>
      <c r="M489" s="417">
        <f t="shared" si="321"/>
        <v>0</v>
      </c>
      <c r="N489" s="3099"/>
      <c r="O489" s="218"/>
    </row>
    <row r="490" spans="1:15" x14ac:dyDescent="0.2">
      <c r="A490" s="3095"/>
      <c r="B490" s="846" t="s">
        <v>16</v>
      </c>
      <c r="C490" s="25"/>
      <c r="D490" s="977">
        <f t="shared" ref="D490:K491" si="322">+D491</f>
        <v>22878</v>
      </c>
      <c r="E490" s="1206">
        <f t="shared" si="322"/>
        <v>22878</v>
      </c>
      <c r="F490" s="1206">
        <f t="shared" si="322"/>
        <v>0</v>
      </c>
      <c r="G490" s="287">
        <f t="shared" si="322"/>
        <v>0</v>
      </c>
      <c r="H490" s="261">
        <f t="shared" si="322"/>
        <v>0</v>
      </c>
      <c r="I490" s="1205">
        <f t="shared" si="322"/>
        <v>57003</v>
      </c>
      <c r="J490" s="267">
        <f t="shared" si="320"/>
        <v>249.1607658012064</v>
      </c>
      <c r="K490" s="808">
        <f t="shared" si="322"/>
        <v>0</v>
      </c>
      <c r="L490" s="300">
        <v>0</v>
      </c>
      <c r="M490" s="414">
        <f t="shared" si="321"/>
        <v>0</v>
      </c>
      <c r="N490" s="3102" t="s">
        <v>88</v>
      </c>
      <c r="O490" s="218"/>
    </row>
    <row r="491" spans="1:15" x14ac:dyDescent="0.2">
      <c r="A491" s="3095"/>
      <c r="B491" s="1207" t="s">
        <v>17</v>
      </c>
      <c r="C491" s="3100" t="s">
        <v>38</v>
      </c>
      <c r="D491" s="1170">
        <f t="shared" si="322"/>
        <v>22878</v>
      </c>
      <c r="E491" s="1171">
        <f t="shared" si="322"/>
        <v>22878</v>
      </c>
      <c r="F491" s="1171">
        <f t="shared" si="322"/>
        <v>0</v>
      </c>
      <c r="G491" s="944">
        <f t="shared" si="322"/>
        <v>0</v>
      </c>
      <c r="H491" s="850">
        <f t="shared" si="322"/>
        <v>0</v>
      </c>
      <c r="I491" s="1170">
        <f t="shared" si="322"/>
        <v>57003</v>
      </c>
      <c r="J491" s="144">
        <f t="shared" si="320"/>
        <v>249.1607658012064</v>
      </c>
      <c r="K491" s="813">
        <f t="shared" si="322"/>
        <v>0</v>
      </c>
      <c r="L491" s="302">
        <v>0</v>
      </c>
      <c r="M491" s="416">
        <f t="shared" si="321"/>
        <v>0</v>
      </c>
      <c r="N491" s="3098"/>
      <c r="O491" s="218"/>
    </row>
    <row r="492" spans="1:15" ht="13.5" thickBot="1" x14ac:dyDescent="0.25">
      <c r="A492" s="3096"/>
      <c r="B492" s="280" t="s">
        <v>56</v>
      </c>
      <c r="C492" s="3104"/>
      <c r="D492" s="262">
        <f>+E492+F492+G492+H492</f>
        <v>22878</v>
      </c>
      <c r="E492" s="263">
        <v>22878</v>
      </c>
      <c r="F492" s="263">
        <v>0</v>
      </c>
      <c r="G492" s="818">
        <v>0</v>
      </c>
      <c r="H492" s="272">
        <v>0</v>
      </c>
      <c r="I492" s="264">
        <f>+K492+F492+E492+34125</f>
        <v>57003</v>
      </c>
      <c r="J492" s="249">
        <f t="shared" si="320"/>
        <v>249.1607658012064</v>
      </c>
      <c r="K492" s="245">
        <v>0</v>
      </c>
      <c r="L492" s="251">
        <v>0</v>
      </c>
      <c r="M492" s="417">
        <f t="shared" si="321"/>
        <v>0</v>
      </c>
      <c r="N492" s="3103"/>
      <c r="O492" s="218"/>
    </row>
    <row r="493" spans="1:15" ht="30.75" customHeight="1" x14ac:dyDescent="0.2">
      <c r="A493" s="3094" t="s">
        <v>46</v>
      </c>
      <c r="B493" s="831" t="s">
        <v>226</v>
      </c>
      <c r="C493" s="236" t="s">
        <v>171</v>
      </c>
      <c r="D493" s="237"/>
      <c r="E493" s="238"/>
      <c r="F493" s="238"/>
      <c r="G493" s="238"/>
      <c r="H493" s="239"/>
      <c r="I493" s="237"/>
      <c r="J493" s="238"/>
      <c r="K493" s="238"/>
      <c r="L493" s="240"/>
      <c r="M493" s="240"/>
      <c r="N493" s="3097" t="s">
        <v>88</v>
      </c>
      <c r="O493" s="218"/>
    </row>
    <row r="494" spans="1:15" x14ac:dyDescent="0.2">
      <c r="A494" s="3095"/>
      <c r="B494" s="220" t="s">
        <v>2</v>
      </c>
      <c r="C494" s="25"/>
      <c r="D494" s="807">
        <f>+D495</f>
        <v>12455604</v>
      </c>
      <c r="E494" s="808">
        <f t="shared" ref="E494:H495" si="323">+E495</f>
        <v>1870818</v>
      </c>
      <c r="F494" s="808">
        <f t="shared" si="323"/>
        <v>925672</v>
      </c>
      <c r="G494" s="808">
        <f t="shared" si="323"/>
        <v>1959114</v>
      </c>
      <c r="H494" s="865">
        <f t="shared" si="323"/>
        <v>7700000</v>
      </c>
      <c r="I494" s="1208">
        <f>+I495</f>
        <v>3070567</v>
      </c>
      <c r="J494" s="1168">
        <f t="shared" si="320"/>
        <v>24.652092343333972</v>
      </c>
      <c r="K494" s="978">
        <f>+K495</f>
        <v>274077</v>
      </c>
      <c r="L494" s="1196">
        <f t="shared" si="312"/>
        <v>13.989844388841078</v>
      </c>
      <c r="M494" s="414">
        <f>+K494-G494</f>
        <v>-1685037</v>
      </c>
      <c r="N494" s="3098"/>
      <c r="O494" s="218"/>
    </row>
    <row r="495" spans="1:15" ht="11.25" customHeight="1" x14ac:dyDescent="0.2">
      <c r="A495" s="3095"/>
      <c r="B495" s="242" t="s">
        <v>17</v>
      </c>
      <c r="C495" s="3100" t="s">
        <v>33</v>
      </c>
      <c r="D495" s="812">
        <f>+D496</f>
        <v>12455604</v>
      </c>
      <c r="E495" s="813">
        <f t="shared" si="323"/>
        <v>1870818</v>
      </c>
      <c r="F495" s="813">
        <f t="shared" si="323"/>
        <v>925672</v>
      </c>
      <c r="G495" s="813">
        <f t="shared" si="323"/>
        <v>1959114</v>
      </c>
      <c r="H495" s="866">
        <f t="shared" si="323"/>
        <v>7700000</v>
      </c>
      <c r="I495" s="1209">
        <f>+I496</f>
        <v>3070567</v>
      </c>
      <c r="J495" s="1174">
        <f t="shared" si="320"/>
        <v>24.652092343333972</v>
      </c>
      <c r="K495" s="1087">
        <f>+K496</f>
        <v>274077</v>
      </c>
      <c r="L495" s="1198">
        <f t="shared" si="312"/>
        <v>13.989844388841078</v>
      </c>
      <c r="M495" s="416">
        <f>+K495-G495</f>
        <v>-1685037</v>
      </c>
      <c r="N495" s="3098"/>
      <c r="O495" s="218"/>
    </row>
    <row r="496" spans="1:15" ht="13.5" thickBot="1" x14ac:dyDescent="0.25">
      <c r="A496" s="3096"/>
      <c r="B496" s="280" t="s">
        <v>4</v>
      </c>
      <c r="C496" s="3120"/>
      <c r="D496" s="262">
        <f>+E496+F496+G496+H496</f>
        <v>12455604</v>
      </c>
      <c r="E496" s="263">
        <f>951324+919494</f>
        <v>1870818</v>
      </c>
      <c r="F496" s="799">
        <v>925672</v>
      </c>
      <c r="G496" s="263">
        <v>1959114</v>
      </c>
      <c r="H496" s="1210">
        <f>3850000+3850000</f>
        <v>7700000</v>
      </c>
      <c r="I496" s="1211">
        <f>E496+F496+K496</f>
        <v>3070567</v>
      </c>
      <c r="J496" s="801">
        <f t="shared" si="320"/>
        <v>24.652092343333972</v>
      </c>
      <c r="K496" s="263">
        <v>274077</v>
      </c>
      <c r="L496" s="901">
        <f t="shared" si="312"/>
        <v>13.989844388841078</v>
      </c>
      <c r="M496" s="417">
        <f>+K496-G496</f>
        <v>-1685037</v>
      </c>
      <c r="N496" s="3103"/>
      <c r="O496" s="218"/>
    </row>
    <row r="497" spans="1:15" ht="27" customHeight="1" x14ac:dyDescent="0.2">
      <c r="A497" s="3105" t="s">
        <v>48</v>
      </c>
      <c r="B497" s="766" t="s">
        <v>227</v>
      </c>
      <c r="C497" s="236" t="s">
        <v>171</v>
      </c>
      <c r="D497" s="237"/>
      <c r="E497" s="238"/>
      <c r="F497" s="238"/>
      <c r="G497" s="238"/>
      <c r="H497" s="239"/>
      <c r="I497" s="237"/>
      <c r="J497" s="238"/>
      <c r="K497" s="238"/>
      <c r="L497" s="240"/>
      <c r="M497" s="240"/>
      <c r="N497" s="3097" t="s">
        <v>88</v>
      </c>
      <c r="O497" s="218"/>
    </row>
    <row r="498" spans="1:15" x14ac:dyDescent="0.2">
      <c r="A498" s="3106"/>
      <c r="B498" s="220" t="s">
        <v>2</v>
      </c>
      <c r="C498" s="25"/>
      <c r="D498" s="807">
        <f>+D499</f>
        <v>309235788</v>
      </c>
      <c r="E498" s="979">
        <f t="shared" ref="E498:H499" si="324">+E499</f>
        <v>0</v>
      </c>
      <c r="F498" s="978">
        <f t="shared" si="324"/>
        <v>77246948</v>
      </c>
      <c r="G498" s="978">
        <f t="shared" si="324"/>
        <v>77988840</v>
      </c>
      <c r="H498" s="1212">
        <f t="shared" si="324"/>
        <v>154000000</v>
      </c>
      <c r="I498" s="1208">
        <f>+I499</f>
        <v>95951359</v>
      </c>
      <c r="J498" s="1168">
        <f t="shared" si="320"/>
        <v>31.028542854166673</v>
      </c>
      <c r="K498" s="978">
        <f>+K499</f>
        <v>18704411</v>
      </c>
      <c r="L498" s="1196">
        <f t="shared" si="312"/>
        <v>23.983445580162496</v>
      </c>
      <c r="M498" s="414">
        <f t="shared" ref="M498:M504" si="325">+K498-G498</f>
        <v>-59284429</v>
      </c>
      <c r="N498" s="3098"/>
      <c r="O498" s="218"/>
    </row>
    <row r="499" spans="1:15" x14ac:dyDescent="0.2">
      <c r="A499" s="3106"/>
      <c r="B499" s="242" t="s">
        <v>17</v>
      </c>
      <c r="C499" s="3154" t="s">
        <v>33</v>
      </c>
      <c r="D499" s="812">
        <f>+D500+D501</f>
        <v>309235788</v>
      </c>
      <c r="E499" s="398">
        <f t="shared" si="324"/>
        <v>0</v>
      </c>
      <c r="F499" s="1087">
        <f>+F500+F501</f>
        <v>77246948</v>
      </c>
      <c r="G499" s="1087">
        <f>+G500+G501</f>
        <v>77988840</v>
      </c>
      <c r="H499" s="1213">
        <f>+H500+H501</f>
        <v>154000000</v>
      </c>
      <c r="I499" s="1087">
        <f>+I500+I501</f>
        <v>95951359</v>
      </c>
      <c r="J499" s="1174">
        <f t="shared" si="320"/>
        <v>31.028542854166673</v>
      </c>
      <c r="K499" s="1087">
        <f>+K500+K501</f>
        <v>18704411</v>
      </c>
      <c r="L499" s="1198">
        <f t="shared" si="312"/>
        <v>23.983445580162496</v>
      </c>
      <c r="M499" s="416">
        <f t="shared" si="325"/>
        <v>-59284429</v>
      </c>
      <c r="N499" s="3098"/>
      <c r="O499" s="218"/>
    </row>
    <row r="500" spans="1:15" x14ac:dyDescent="0.2">
      <c r="A500" s="3106"/>
      <c r="B500" s="243" t="s">
        <v>4</v>
      </c>
      <c r="C500" s="3155"/>
      <c r="D500" s="244">
        <f>+E500+F500+G500+H500</f>
        <v>308041321</v>
      </c>
      <c r="E500" s="250">
        <v>0</v>
      </c>
      <c r="F500" s="779">
        <v>77041321</v>
      </c>
      <c r="G500" s="779">
        <v>77000000</v>
      </c>
      <c r="H500" s="1214">
        <f>77000000+77000000</f>
        <v>154000000</v>
      </c>
      <c r="I500" s="1215">
        <f>E500+F500+K500</f>
        <v>95745732</v>
      </c>
      <c r="J500" s="780">
        <f t="shared" si="320"/>
        <v>31.082106676201406</v>
      </c>
      <c r="K500" s="779">
        <v>18704411</v>
      </c>
      <c r="L500" s="781">
        <f t="shared" si="312"/>
        <v>24.291442857142854</v>
      </c>
      <c r="M500" s="417">
        <f t="shared" si="325"/>
        <v>-58295589</v>
      </c>
      <c r="N500" s="3098"/>
      <c r="O500" s="218"/>
    </row>
    <row r="501" spans="1:15" x14ac:dyDescent="0.2">
      <c r="A501" s="3106"/>
      <c r="B501" s="1216" t="s">
        <v>56</v>
      </c>
      <c r="C501" s="3156"/>
      <c r="D501" s="821">
        <f>+E501+F501+G501+H501</f>
        <v>1194467</v>
      </c>
      <c r="E501" s="1217"/>
      <c r="F501" s="1217">
        <v>205627</v>
      </c>
      <c r="G501" s="1217">
        <v>988840</v>
      </c>
      <c r="H501" s="1218">
        <v>0</v>
      </c>
      <c r="I501" s="1219">
        <f>+K501+F501+E501</f>
        <v>205627</v>
      </c>
      <c r="J501" s="780">
        <f t="shared" si="320"/>
        <v>17.214958638455478</v>
      </c>
      <c r="K501" s="779">
        <v>0</v>
      </c>
      <c r="L501" s="781">
        <f t="shared" si="312"/>
        <v>0</v>
      </c>
      <c r="M501" s="417">
        <f t="shared" si="325"/>
        <v>-988840</v>
      </c>
      <c r="N501" s="3098"/>
      <c r="O501" s="218"/>
    </row>
    <row r="502" spans="1:15" x14ac:dyDescent="0.2">
      <c r="A502" s="3106"/>
      <c r="B502" s="846" t="s">
        <v>16</v>
      </c>
      <c r="C502" s="25"/>
      <c r="D502" s="977">
        <f t="shared" ref="D502:K503" si="326">+D503</f>
        <v>1194467</v>
      </c>
      <c r="E502" s="287">
        <f t="shared" si="326"/>
        <v>0</v>
      </c>
      <c r="F502" s="978">
        <f t="shared" si="326"/>
        <v>205627</v>
      </c>
      <c r="G502" s="978">
        <f t="shared" si="326"/>
        <v>988840</v>
      </c>
      <c r="H502" s="261">
        <f t="shared" si="326"/>
        <v>0</v>
      </c>
      <c r="I502" s="1205">
        <f t="shared" si="326"/>
        <v>492922</v>
      </c>
      <c r="J502" s="271">
        <f t="shared" si="320"/>
        <v>41.267109095521263</v>
      </c>
      <c r="K502" s="978">
        <f t="shared" si="326"/>
        <v>287295</v>
      </c>
      <c r="L502" s="271">
        <f t="shared" si="312"/>
        <v>29.053739735447596</v>
      </c>
      <c r="M502" s="414">
        <f t="shared" si="325"/>
        <v>-701545</v>
      </c>
      <c r="N502" s="3098"/>
      <c r="O502" s="218"/>
    </row>
    <row r="503" spans="1:15" x14ac:dyDescent="0.2">
      <c r="A503" s="3106"/>
      <c r="B503" s="1207" t="s">
        <v>17</v>
      </c>
      <c r="C503" s="3100" t="s">
        <v>38</v>
      </c>
      <c r="D503" s="1170">
        <f t="shared" si="326"/>
        <v>1194467</v>
      </c>
      <c r="E503" s="944">
        <f t="shared" si="326"/>
        <v>0</v>
      </c>
      <c r="F503" s="1087">
        <f t="shared" si="326"/>
        <v>205627</v>
      </c>
      <c r="G503" s="1087">
        <f t="shared" si="326"/>
        <v>988840</v>
      </c>
      <c r="H503" s="850">
        <f t="shared" si="326"/>
        <v>0</v>
      </c>
      <c r="I503" s="1170">
        <f t="shared" si="326"/>
        <v>492922</v>
      </c>
      <c r="J503" s="294">
        <f t="shared" si="320"/>
        <v>41.267109095521263</v>
      </c>
      <c r="K503" s="1171">
        <f t="shared" si="326"/>
        <v>287295</v>
      </c>
      <c r="L503" s="294">
        <f t="shared" si="312"/>
        <v>29.053739735447596</v>
      </c>
      <c r="M503" s="416">
        <f t="shared" si="325"/>
        <v>-701545</v>
      </c>
      <c r="N503" s="3098"/>
      <c r="O503" s="218"/>
    </row>
    <row r="504" spans="1:15" ht="13.5" thickBot="1" x14ac:dyDescent="0.25">
      <c r="A504" s="3107"/>
      <c r="B504" s="280" t="s">
        <v>56</v>
      </c>
      <c r="C504" s="3104"/>
      <c r="D504" s="262">
        <f>+E504+F504+G504+H504</f>
        <v>1194467</v>
      </c>
      <c r="E504" s="818">
        <v>0</v>
      </c>
      <c r="F504" s="1220">
        <v>205627</v>
      </c>
      <c r="G504" s="1220">
        <v>988840</v>
      </c>
      <c r="H504" s="272">
        <v>0</v>
      </c>
      <c r="I504" s="845">
        <f>+K504+F504+E504</f>
        <v>492922</v>
      </c>
      <c r="J504" s="270">
        <f t="shared" si="320"/>
        <v>41.267109095521263</v>
      </c>
      <c r="K504" s="779">
        <v>287295</v>
      </c>
      <c r="L504" s="273">
        <f t="shared" si="312"/>
        <v>29.053739735447596</v>
      </c>
      <c r="M504" s="417">
        <f t="shared" si="325"/>
        <v>-701545</v>
      </c>
      <c r="N504" s="3103"/>
      <c r="O504" s="218"/>
    </row>
    <row r="505" spans="1:15" ht="28.5" customHeight="1" x14ac:dyDescent="0.2">
      <c r="A505" s="3094" t="s">
        <v>50</v>
      </c>
      <c r="B505" s="766" t="s">
        <v>228</v>
      </c>
      <c r="C505" s="236" t="s">
        <v>171</v>
      </c>
      <c r="D505" s="237"/>
      <c r="E505" s="238"/>
      <c r="F505" s="238"/>
      <c r="G505" s="238"/>
      <c r="H505" s="239"/>
      <c r="I505" s="237"/>
      <c r="J505" s="238"/>
      <c r="K505" s="238"/>
      <c r="L505" s="240"/>
      <c r="M505" s="240"/>
      <c r="N505" s="3097" t="s">
        <v>88</v>
      </c>
      <c r="O505" s="218"/>
    </row>
    <row r="506" spans="1:15" x14ac:dyDescent="0.2">
      <c r="A506" s="3095"/>
      <c r="B506" s="220" t="s">
        <v>2</v>
      </c>
      <c r="C506" s="25"/>
      <c r="D506" s="807">
        <f>+D507</f>
        <v>780000</v>
      </c>
      <c r="E506" s="943">
        <f t="shared" ref="E506:H507" si="327">+E507</f>
        <v>0</v>
      </c>
      <c r="F506" s="978">
        <f t="shared" si="327"/>
        <v>180000</v>
      </c>
      <c r="G506" s="978">
        <f t="shared" si="327"/>
        <v>600000</v>
      </c>
      <c r="H506" s="1212">
        <f t="shared" si="327"/>
        <v>0</v>
      </c>
      <c r="I506" s="1208">
        <f>+I507</f>
        <v>359997</v>
      </c>
      <c r="J506" s="1168">
        <f t="shared" si="320"/>
        <v>46.153461538461535</v>
      </c>
      <c r="K506" s="978">
        <f>+K507</f>
        <v>179998</v>
      </c>
      <c r="L506" s="1196">
        <f t="shared" si="312"/>
        <v>29.99966666666667</v>
      </c>
      <c r="M506" s="414">
        <f>+K506-G506</f>
        <v>-420002</v>
      </c>
      <c r="N506" s="3098"/>
      <c r="O506" s="218"/>
    </row>
    <row r="507" spans="1:15" x14ac:dyDescent="0.2">
      <c r="A507" s="3095"/>
      <c r="B507" s="242" t="s">
        <v>17</v>
      </c>
      <c r="C507" s="3100" t="s">
        <v>33</v>
      </c>
      <c r="D507" s="812">
        <f>+D508</f>
        <v>780000</v>
      </c>
      <c r="E507" s="944">
        <f t="shared" si="327"/>
        <v>0</v>
      </c>
      <c r="F507" s="1087">
        <f t="shared" si="327"/>
        <v>180000</v>
      </c>
      <c r="G507" s="1087">
        <f t="shared" si="327"/>
        <v>600000</v>
      </c>
      <c r="H507" s="1213">
        <f t="shared" si="327"/>
        <v>0</v>
      </c>
      <c r="I507" s="1209">
        <f>+I508</f>
        <v>359997</v>
      </c>
      <c r="J507" s="1174">
        <f t="shared" si="320"/>
        <v>46.153461538461535</v>
      </c>
      <c r="K507" s="1087">
        <f>+K508</f>
        <v>179998</v>
      </c>
      <c r="L507" s="1198">
        <f t="shared" si="312"/>
        <v>29.99966666666667</v>
      </c>
      <c r="M507" s="416">
        <f>+K507-G507</f>
        <v>-420002</v>
      </c>
      <c r="N507" s="3098"/>
      <c r="O507" s="218"/>
    </row>
    <row r="508" spans="1:15" ht="13.5" thickBot="1" x14ac:dyDescent="0.25">
      <c r="A508" s="3096"/>
      <c r="B508" s="280" t="s">
        <v>4</v>
      </c>
      <c r="C508" s="3120"/>
      <c r="D508" s="262">
        <f>+E508+F508+G508+H508</f>
        <v>780000</v>
      </c>
      <c r="E508" s="818">
        <v>0</v>
      </c>
      <c r="F508" s="263">
        <v>180000</v>
      </c>
      <c r="G508" s="263">
        <v>600000</v>
      </c>
      <c r="H508" s="1210">
        <v>0</v>
      </c>
      <c r="I508" s="1211">
        <f>E508+F508+K508-1</f>
        <v>359997</v>
      </c>
      <c r="J508" s="801">
        <f t="shared" si="320"/>
        <v>46.153461538461535</v>
      </c>
      <c r="K508" s="263">
        <v>179998</v>
      </c>
      <c r="L508" s="901">
        <f t="shared" si="312"/>
        <v>29.99966666666667</v>
      </c>
      <c r="M508" s="1200">
        <f>+K508-G508</f>
        <v>-420002</v>
      </c>
      <c r="N508" s="3103"/>
      <c r="O508" s="218"/>
    </row>
    <row r="509" spans="1:15" ht="17.25" customHeight="1" x14ac:dyDescent="0.2">
      <c r="A509" s="3095" t="s">
        <v>52</v>
      </c>
      <c r="B509" s="856" t="s">
        <v>229</v>
      </c>
      <c r="C509" s="857" t="s">
        <v>171</v>
      </c>
      <c r="D509" s="858"/>
      <c r="E509" s="859"/>
      <c r="F509" s="859"/>
      <c r="G509" s="859"/>
      <c r="H509" s="860"/>
      <c r="I509" s="858"/>
      <c r="J509" s="859"/>
      <c r="K509" s="859"/>
      <c r="L509" s="861"/>
      <c r="M509" s="861"/>
      <c r="N509" s="3098" t="s">
        <v>95</v>
      </c>
      <c r="O509" s="218"/>
    </row>
    <row r="510" spans="1:15" x14ac:dyDescent="0.2">
      <c r="A510" s="3095"/>
      <c r="B510" s="220" t="s">
        <v>2</v>
      </c>
      <c r="C510" s="25"/>
      <c r="D510" s="807">
        <f>+D511</f>
        <v>86158997</v>
      </c>
      <c r="E510" s="808">
        <f t="shared" ref="E510:H511" si="328">+E511</f>
        <v>24295643</v>
      </c>
      <c r="F510" s="808">
        <f t="shared" si="328"/>
        <v>19484000</v>
      </c>
      <c r="G510" s="808">
        <f t="shared" si="328"/>
        <v>13738192</v>
      </c>
      <c r="H510" s="865">
        <f t="shared" si="328"/>
        <v>28641162</v>
      </c>
      <c r="I510" s="1189">
        <f>+I511</f>
        <v>47650486</v>
      </c>
      <c r="J510" s="267">
        <f t="shared" si="320"/>
        <v>55.30529330558479</v>
      </c>
      <c r="K510" s="808">
        <f>+K511</f>
        <v>4588018</v>
      </c>
      <c r="L510" s="271">
        <f t="shared" si="312"/>
        <v>33.396082978022143</v>
      </c>
      <c r="M510" s="414">
        <f>+K510-G510</f>
        <v>-9150174</v>
      </c>
      <c r="N510" s="3098"/>
      <c r="O510" s="218"/>
    </row>
    <row r="511" spans="1:15" x14ac:dyDescent="0.2">
      <c r="A511" s="3095"/>
      <c r="B511" s="242" t="s">
        <v>17</v>
      </c>
      <c r="C511" s="3100" t="s">
        <v>38</v>
      </c>
      <c r="D511" s="812">
        <f>+D512</f>
        <v>86158997</v>
      </c>
      <c r="E511" s="813">
        <f t="shared" si="328"/>
        <v>24295643</v>
      </c>
      <c r="F511" s="813">
        <f t="shared" si="328"/>
        <v>19484000</v>
      </c>
      <c r="G511" s="813">
        <f t="shared" si="328"/>
        <v>13738192</v>
      </c>
      <c r="H511" s="866">
        <f t="shared" si="328"/>
        <v>28641162</v>
      </c>
      <c r="I511" s="833">
        <f>+I512</f>
        <v>47650486</v>
      </c>
      <c r="J511" s="144">
        <f t="shared" si="320"/>
        <v>55.30529330558479</v>
      </c>
      <c r="K511" s="813">
        <f>+K512</f>
        <v>4588018</v>
      </c>
      <c r="L511" s="294">
        <f t="shared" si="312"/>
        <v>33.396082978022143</v>
      </c>
      <c r="M511" s="416">
        <f>+K511-G511</f>
        <v>-9150174</v>
      </c>
      <c r="N511" s="3098"/>
      <c r="O511" s="218"/>
    </row>
    <row r="512" spans="1:15" ht="13.5" thickBot="1" x14ac:dyDescent="0.25">
      <c r="A512" s="3096"/>
      <c r="B512" s="280" t="s">
        <v>4</v>
      </c>
      <c r="C512" s="3120"/>
      <c r="D512" s="262">
        <f>+E512+F512+G512+H512</f>
        <v>86158997</v>
      </c>
      <c r="E512" s="263">
        <f>13756407+10539236</f>
        <v>24295643</v>
      </c>
      <c r="F512" s="263">
        <v>19484000</v>
      </c>
      <c r="G512" s="263">
        <v>13738192</v>
      </c>
      <c r="H512" s="1210">
        <f>14122861+14518301</f>
        <v>28641162</v>
      </c>
      <c r="I512" s="1221">
        <f>E512+F512+K512-717175</f>
        <v>47650486</v>
      </c>
      <c r="J512" s="249">
        <f t="shared" si="320"/>
        <v>55.30529330558479</v>
      </c>
      <c r="K512" s="799">
        <v>4588018</v>
      </c>
      <c r="L512" s="276">
        <f t="shared" si="312"/>
        <v>33.396082978022143</v>
      </c>
      <c r="M512" s="417">
        <f>+K512-G512</f>
        <v>-9150174</v>
      </c>
      <c r="N512" s="3103"/>
      <c r="O512" s="218"/>
    </row>
    <row r="513" spans="1:15" ht="29.25" customHeight="1" x14ac:dyDescent="0.2">
      <c r="A513" s="3094" t="s">
        <v>53</v>
      </c>
      <c r="B513" s="766" t="s">
        <v>230</v>
      </c>
      <c r="C513" s="236" t="s">
        <v>171</v>
      </c>
      <c r="D513" s="237"/>
      <c r="E513" s="238"/>
      <c r="F513" s="238"/>
      <c r="G513" s="238"/>
      <c r="H513" s="239"/>
      <c r="I513" s="237"/>
      <c r="J513" s="238"/>
      <c r="K513" s="238"/>
      <c r="L513" s="240"/>
      <c r="M513" s="240"/>
      <c r="N513" s="3097" t="s">
        <v>95</v>
      </c>
      <c r="O513" s="218"/>
    </row>
    <row r="514" spans="1:15" x14ac:dyDescent="0.2">
      <c r="A514" s="3095"/>
      <c r="B514" s="220" t="s">
        <v>2</v>
      </c>
      <c r="C514" s="25"/>
      <c r="D514" s="807">
        <f>+D515</f>
        <v>5490111</v>
      </c>
      <c r="E514" s="808">
        <f t="shared" ref="E514:H515" si="329">+E515</f>
        <v>1638124</v>
      </c>
      <c r="F514" s="808">
        <f t="shared" si="329"/>
        <v>909066</v>
      </c>
      <c r="G514" s="808">
        <f t="shared" si="329"/>
        <v>933520</v>
      </c>
      <c r="H514" s="865">
        <f t="shared" si="329"/>
        <v>2009401</v>
      </c>
      <c r="I514" s="1189">
        <f>+I515</f>
        <v>2695222</v>
      </c>
      <c r="J514" s="267">
        <f t="shared" si="320"/>
        <v>49.092304326815977</v>
      </c>
      <c r="K514" s="808">
        <f>+K515</f>
        <v>148979</v>
      </c>
      <c r="L514" s="271">
        <f t="shared" si="312"/>
        <v>15.958843945496614</v>
      </c>
      <c r="M514" s="414">
        <f>+K514-G514</f>
        <v>-784541</v>
      </c>
      <c r="N514" s="3098"/>
      <c r="O514" s="218"/>
    </row>
    <row r="515" spans="1:15" x14ac:dyDescent="0.2">
      <c r="A515" s="3095"/>
      <c r="B515" s="242" t="s">
        <v>17</v>
      </c>
      <c r="C515" s="3100" t="s">
        <v>38</v>
      </c>
      <c r="D515" s="812">
        <f>+D516</f>
        <v>5490111</v>
      </c>
      <c r="E515" s="813">
        <f t="shared" si="329"/>
        <v>1638124</v>
      </c>
      <c r="F515" s="813">
        <f t="shared" si="329"/>
        <v>909066</v>
      </c>
      <c r="G515" s="813">
        <f t="shared" si="329"/>
        <v>933520</v>
      </c>
      <c r="H515" s="866">
        <f t="shared" si="329"/>
        <v>2009401</v>
      </c>
      <c r="I515" s="833">
        <f>+I516</f>
        <v>2695222</v>
      </c>
      <c r="J515" s="144">
        <f t="shared" si="320"/>
        <v>49.092304326815977</v>
      </c>
      <c r="K515" s="813">
        <f>+K516</f>
        <v>148979</v>
      </c>
      <c r="L515" s="294">
        <f t="shared" si="312"/>
        <v>15.958843945496614</v>
      </c>
      <c r="M515" s="416">
        <f>+K515-G515</f>
        <v>-784541</v>
      </c>
      <c r="N515" s="3098"/>
      <c r="O515" s="218"/>
    </row>
    <row r="516" spans="1:15" ht="13.5" thickBot="1" x14ac:dyDescent="0.25">
      <c r="A516" s="3096"/>
      <c r="B516" s="280" t="s">
        <v>4</v>
      </c>
      <c r="C516" s="3120"/>
      <c r="D516" s="262">
        <f>+E516+F516+G516+H516</f>
        <v>5490111</v>
      </c>
      <c r="E516" s="263">
        <f>806409+831715</f>
        <v>1638124</v>
      </c>
      <c r="F516" s="263">
        <v>909066</v>
      </c>
      <c r="G516" s="263">
        <v>933520</v>
      </c>
      <c r="H516" s="1210">
        <f>980196+1029205</f>
        <v>2009401</v>
      </c>
      <c r="I516" s="1221">
        <f>E516+F516+K516-947</f>
        <v>2695222</v>
      </c>
      <c r="J516" s="1222">
        <f t="shared" si="320"/>
        <v>49.092304326815977</v>
      </c>
      <c r="K516" s="799">
        <v>148979</v>
      </c>
      <c r="L516" s="1223">
        <f t="shared" si="312"/>
        <v>15.958843945496614</v>
      </c>
      <c r="M516" s="417">
        <f>+K516-G516</f>
        <v>-784541</v>
      </c>
      <c r="N516" s="3103"/>
      <c r="O516" s="218"/>
    </row>
    <row r="517" spans="1:15" ht="29.25" customHeight="1" x14ac:dyDescent="0.2">
      <c r="A517" s="3094" t="s">
        <v>54</v>
      </c>
      <c r="B517" s="766" t="s">
        <v>274</v>
      </c>
      <c r="C517" s="418" t="s">
        <v>166</v>
      </c>
      <c r="D517" s="237"/>
      <c r="E517" s="238"/>
      <c r="F517" s="238"/>
      <c r="G517" s="238"/>
      <c r="H517" s="239"/>
      <c r="I517" s="237"/>
      <c r="J517" s="238"/>
      <c r="K517" s="238"/>
      <c r="L517" s="240"/>
      <c r="M517" s="240"/>
      <c r="N517" s="3097" t="s">
        <v>95</v>
      </c>
      <c r="O517" s="218"/>
    </row>
    <row r="518" spans="1:15" x14ac:dyDescent="0.2">
      <c r="A518" s="3095"/>
      <c r="B518" s="220" t="s">
        <v>2</v>
      </c>
      <c r="C518" s="25"/>
      <c r="D518" s="807">
        <f>+D519</f>
        <v>780000</v>
      </c>
      <c r="E518" s="808">
        <f t="shared" ref="E518:H519" si="330">+E519</f>
        <v>0</v>
      </c>
      <c r="F518" s="808">
        <f t="shared" si="330"/>
        <v>179840</v>
      </c>
      <c r="G518" s="808">
        <f t="shared" si="330"/>
        <v>300160</v>
      </c>
      <c r="H518" s="865">
        <f t="shared" si="330"/>
        <v>300000</v>
      </c>
      <c r="I518" s="1189">
        <f>+I519</f>
        <v>128194</v>
      </c>
      <c r="J518" s="267">
        <f t="shared" ref="J518:J520" si="331">I518/D518*100</f>
        <v>16.435128205128205</v>
      </c>
      <c r="K518" s="808">
        <f>+K519</f>
        <v>0</v>
      </c>
      <c r="L518" s="271">
        <f t="shared" ref="L518:L520" si="332">K518/G518*100</f>
        <v>0</v>
      </c>
      <c r="M518" s="414">
        <f>+K518-G518</f>
        <v>-300160</v>
      </c>
      <c r="N518" s="3098"/>
      <c r="O518" s="218"/>
    </row>
    <row r="519" spans="1:15" x14ac:dyDescent="0.2">
      <c r="A519" s="3095"/>
      <c r="B519" s="242" t="s">
        <v>17</v>
      </c>
      <c r="C519" s="3100" t="s">
        <v>38</v>
      </c>
      <c r="D519" s="812">
        <f>+D520</f>
        <v>780000</v>
      </c>
      <c r="E519" s="813">
        <f t="shared" si="330"/>
        <v>0</v>
      </c>
      <c r="F519" s="813">
        <f t="shared" si="330"/>
        <v>179840</v>
      </c>
      <c r="G519" s="813">
        <f t="shared" si="330"/>
        <v>300160</v>
      </c>
      <c r="H519" s="866">
        <f t="shared" si="330"/>
        <v>300000</v>
      </c>
      <c r="I519" s="833">
        <f>+I520</f>
        <v>128194</v>
      </c>
      <c r="J519" s="144">
        <f t="shared" si="331"/>
        <v>16.435128205128205</v>
      </c>
      <c r="K519" s="813">
        <f>+K520</f>
        <v>0</v>
      </c>
      <c r="L519" s="294">
        <f t="shared" si="332"/>
        <v>0</v>
      </c>
      <c r="M519" s="416">
        <f>+K519-G519</f>
        <v>-300160</v>
      </c>
      <c r="N519" s="3098"/>
      <c r="O519" s="218"/>
    </row>
    <row r="520" spans="1:15" ht="13.5" thickBot="1" x14ac:dyDescent="0.25">
      <c r="A520" s="3096"/>
      <c r="B520" s="280" t="s">
        <v>4</v>
      </c>
      <c r="C520" s="3120"/>
      <c r="D520" s="262">
        <f>+E520+F520+G520+H520</f>
        <v>780000</v>
      </c>
      <c r="E520" s="263">
        <v>0</v>
      </c>
      <c r="F520" s="263">
        <v>179840</v>
      </c>
      <c r="G520" s="263">
        <v>300160</v>
      </c>
      <c r="H520" s="1210">
        <f>150000+150000</f>
        <v>300000</v>
      </c>
      <c r="I520" s="1221">
        <f>E520+F520+K520-51646</f>
        <v>128194</v>
      </c>
      <c r="J520" s="1222">
        <f t="shared" si="331"/>
        <v>16.435128205128205</v>
      </c>
      <c r="K520" s="799">
        <v>0</v>
      </c>
      <c r="L520" s="1223">
        <f t="shared" si="332"/>
        <v>0</v>
      </c>
      <c r="M520" s="1200">
        <f>+K520-G520</f>
        <v>-300160</v>
      </c>
      <c r="N520" s="3103"/>
      <c r="O520" s="218"/>
    </row>
    <row r="521" spans="1:15" ht="12" customHeight="1" x14ac:dyDescent="0.2">
      <c r="O521" s="218"/>
    </row>
    <row r="522" spans="1:15" s="219" customFormat="1" ht="23.25" customHeight="1" x14ac:dyDescent="0.3">
      <c r="A522" s="431" t="s">
        <v>338</v>
      </c>
      <c r="B522" s="3245" t="s">
        <v>339</v>
      </c>
      <c r="C522" s="3245"/>
      <c r="D522" s="3245"/>
      <c r="E522" s="3245"/>
      <c r="F522" s="3245"/>
      <c r="G522" s="3245"/>
      <c r="H522" s="3245"/>
      <c r="I522" s="3245"/>
      <c r="J522" s="3245"/>
      <c r="K522" s="3245"/>
      <c r="L522" s="3245"/>
      <c r="M522" s="3245"/>
      <c r="N522" s="3245"/>
      <c r="O522" s="218"/>
    </row>
    <row r="523" spans="1:15" ht="12.75" customHeight="1" x14ac:dyDescent="0.2">
      <c r="B523" s="3245"/>
      <c r="C523" s="3245"/>
      <c r="D523" s="3245"/>
      <c r="E523" s="3245"/>
      <c r="F523" s="3245"/>
      <c r="G523" s="3245"/>
      <c r="H523" s="3245"/>
      <c r="I523" s="3245"/>
      <c r="J523" s="3245"/>
      <c r="K523" s="3245"/>
      <c r="L523" s="3245"/>
      <c r="M523" s="3245"/>
      <c r="N523" s="3245"/>
      <c r="O523" s="218"/>
    </row>
    <row r="524" spans="1:15" ht="13.5" customHeight="1" x14ac:dyDescent="0.2">
      <c r="O524" s="218"/>
    </row>
    <row r="525" spans="1:15" ht="12" customHeight="1" x14ac:dyDescent="0.2">
      <c r="B525" s="219"/>
      <c r="O525" s="218"/>
    </row>
    <row r="526" spans="1:15" ht="12" customHeight="1" x14ac:dyDescent="0.2">
      <c r="O526" s="218"/>
    </row>
    <row r="527" spans="1:15" ht="36" customHeight="1" x14ac:dyDescent="0.2">
      <c r="O527" s="218"/>
    </row>
    <row r="528" spans="1:15" ht="13.5" customHeight="1" x14ac:dyDescent="0.2">
      <c r="O528" s="218"/>
    </row>
    <row r="529" spans="15:15" ht="13.5" customHeight="1" x14ac:dyDescent="0.2">
      <c r="O529" s="218"/>
    </row>
    <row r="530" spans="15:15" ht="12.75" customHeight="1" x14ac:dyDescent="0.2">
      <c r="O530" s="218"/>
    </row>
    <row r="531" spans="15:15" ht="11.25" customHeight="1" x14ac:dyDescent="0.2">
      <c r="O531" s="218"/>
    </row>
    <row r="532" spans="15:15" ht="13.5" customHeight="1" x14ac:dyDescent="0.2">
      <c r="O532" s="218"/>
    </row>
    <row r="533" spans="15:15" ht="13.5" customHeight="1" x14ac:dyDescent="0.2">
      <c r="O533" s="218"/>
    </row>
    <row r="534" spans="15:15" ht="12" customHeight="1" x14ac:dyDescent="0.2">
      <c r="O534" s="218"/>
    </row>
    <row r="535" spans="15:15" ht="13.5" customHeight="1" x14ac:dyDescent="0.2">
      <c r="O535" s="218"/>
    </row>
  </sheetData>
  <mergeCells count="224">
    <mergeCell ref="A4:N4"/>
    <mergeCell ref="A6:A9"/>
    <mergeCell ref="B6:B9"/>
    <mergeCell ref="C6:C9"/>
    <mergeCell ref="D6:H6"/>
    <mergeCell ref="N6:N9"/>
    <mergeCell ref="J7:J9"/>
    <mergeCell ref="I6:L6"/>
    <mergeCell ref="A14:A36"/>
    <mergeCell ref="N14:N36"/>
    <mergeCell ref="C15:C25"/>
    <mergeCell ref="C27:C36"/>
    <mergeCell ref="F7:F9"/>
    <mergeCell ref="G8:G9"/>
    <mergeCell ref="H8:H9"/>
    <mergeCell ref="G7:H7"/>
    <mergeCell ref="B522:N523"/>
    <mergeCell ref="A509:A512"/>
    <mergeCell ref="N509:N512"/>
    <mergeCell ref="C511:C512"/>
    <mergeCell ref="A513:A516"/>
    <mergeCell ref="N513:N516"/>
    <mergeCell ref="C515:C516"/>
    <mergeCell ref="A493:A496"/>
    <mergeCell ref="N493:N496"/>
    <mergeCell ref="C495:C496"/>
    <mergeCell ref="A505:A508"/>
    <mergeCell ref="N505:N508"/>
    <mergeCell ref="C507:C508"/>
    <mergeCell ref="C503:C504"/>
    <mergeCell ref="A497:A504"/>
    <mergeCell ref="C499:C501"/>
    <mergeCell ref="N497:N504"/>
    <mergeCell ref="A517:A520"/>
    <mergeCell ref="N517:N520"/>
    <mergeCell ref="C519:C520"/>
    <mergeCell ref="C47:C53"/>
    <mergeCell ref="A10:B10"/>
    <mergeCell ref="K7:L7"/>
    <mergeCell ref="A54:A67"/>
    <mergeCell ref="A37:A53"/>
    <mergeCell ref="N55:N61"/>
    <mergeCell ref="C56:C61"/>
    <mergeCell ref="N62:N67"/>
    <mergeCell ref="A68:A83"/>
    <mergeCell ref="N69:N76"/>
    <mergeCell ref="N77:N83"/>
    <mergeCell ref="C78:C83"/>
    <mergeCell ref="C63:C67"/>
    <mergeCell ref="C70:C75"/>
    <mergeCell ref="N37:N53"/>
    <mergeCell ref="I7:I9"/>
    <mergeCell ref="K8:K9"/>
    <mergeCell ref="L8:L9"/>
    <mergeCell ref="M8:M9"/>
    <mergeCell ref="D7:D9"/>
    <mergeCell ref="E7:E9"/>
    <mergeCell ref="C39:C45"/>
    <mergeCell ref="A84:A97"/>
    <mergeCell ref="N85:N91"/>
    <mergeCell ref="C86:C91"/>
    <mergeCell ref="N92:N97"/>
    <mergeCell ref="A98:A113"/>
    <mergeCell ref="N99:N106"/>
    <mergeCell ref="C100:C106"/>
    <mergeCell ref="N107:N113"/>
    <mergeCell ref="C111:C113"/>
    <mergeCell ref="C93:C97"/>
    <mergeCell ref="A114:A129"/>
    <mergeCell ref="N115:N122"/>
    <mergeCell ref="C116:C122"/>
    <mergeCell ref="N123:N129"/>
    <mergeCell ref="A156:A164"/>
    <mergeCell ref="N156:N164"/>
    <mergeCell ref="C158:C161"/>
    <mergeCell ref="C163:C164"/>
    <mergeCell ref="C124:C129"/>
    <mergeCell ref="A165:A176"/>
    <mergeCell ref="N165:N176"/>
    <mergeCell ref="C167:C171"/>
    <mergeCell ref="C173:C176"/>
    <mergeCell ref="A130:A143"/>
    <mergeCell ref="N131:N137"/>
    <mergeCell ref="C132:C137"/>
    <mergeCell ref="N138:N143"/>
    <mergeCell ref="C139:C143"/>
    <mergeCell ref="A144:A155"/>
    <mergeCell ref="N145:N150"/>
    <mergeCell ref="C146:C150"/>
    <mergeCell ref="N151:N155"/>
    <mergeCell ref="C152:C155"/>
    <mergeCell ref="A177:A188"/>
    <mergeCell ref="N177:N188"/>
    <mergeCell ref="C179:C183"/>
    <mergeCell ref="C185:C188"/>
    <mergeCell ref="A189:A200"/>
    <mergeCell ref="N189:N200"/>
    <mergeCell ref="C191:C195"/>
    <mergeCell ref="C197:C200"/>
    <mergeCell ref="A222:A230"/>
    <mergeCell ref="N222:N230"/>
    <mergeCell ref="C224:C227"/>
    <mergeCell ref="C229:C230"/>
    <mergeCell ref="A231:A242"/>
    <mergeCell ref="N231:N242"/>
    <mergeCell ref="C233:C237"/>
    <mergeCell ref="C239:C242"/>
    <mergeCell ref="A201:A209"/>
    <mergeCell ref="N201:N209"/>
    <mergeCell ref="C203:C206"/>
    <mergeCell ref="C208:C209"/>
    <mergeCell ref="A210:A221"/>
    <mergeCell ref="N210:N221"/>
    <mergeCell ref="C212:C216"/>
    <mergeCell ref="C218:C221"/>
    <mergeCell ref="A263:A271"/>
    <mergeCell ref="N263:N271"/>
    <mergeCell ref="C265:C268"/>
    <mergeCell ref="C270:C271"/>
    <mergeCell ref="A243:A253"/>
    <mergeCell ref="N243:N253"/>
    <mergeCell ref="C245:C248"/>
    <mergeCell ref="A254:A262"/>
    <mergeCell ref="N254:N262"/>
    <mergeCell ref="C256:C259"/>
    <mergeCell ref="C261:C262"/>
    <mergeCell ref="C250:C253"/>
    <mergeCell ref="A281:A289"/>
    <mergeCell ref="N281:N289"/>
    <mergeCell ref="C283:C286"/>
    <mergeCell ref="C288:C289"/>
    <mergeCell ref="A290:A298"/>
    <mergeCell ref="N290:N298"/>
    <mergeCell ref="C292:C295"/>
    <mergeCell ref="C297:C298"/>
    <mergeCell ref="A272:A280"/>
    <mergeCell ref="N272:N280"/>
    <mergeCell ref="C274:C277"/>
    <mergeCell ref="C279:C280"/>
    <mergeCell ref="A299:A305"/>
    <mergeCell ref="N299:N305"/>
    <mergeCell ref="C301:C302"/>
    <mergeCell ref="C304:C305"/>
    <mergeCell ref="A333:A341"/>
    <mergeCell ref="N333:N341"/>
    <mergeCell ref="C335:C338"/>
    <mergeCell ref="C340:C341"/>
    <mergeCell ref="A342:A350"/>
    <mergeCell ref="N342:N350"/>
    <mergeCell ref="C344:C347"/>
    <mergeCell ref="C349:C350"/>
    <mergeCell ref="A315:A323"/>
    <mergeCell ref="N315:N323"/>
    <mergeCell ref="C317:C320"/>
    <mergeCell ref="C322:C323"/>
    <mergeCell ref="A324:A332"/>
    <mergeCell ref="N324:N332"/>
    <mergeCell ref="C326:C329"/>
    <mergeCell ref="C331:C332"/>
    <mergeCell ref="A306:A314"/>
    <mergeCell ref="N306:N314"/>
    <mergeCell ref="C308:C311"/>
    <mergeCell ref="C313:C314"/>
    <mergeCell ref="A351:A359"/>
    <mergeCell ref="N351:N359"/>
    <mergeCell ref="C353:C356"/>
    <mergeCell ref="C358:C359"/>
    <mergeCell ref="A360:A368"/>
    <mergeCell ref="D360:H360"/>
    <mergeCell ref="N360:N368"/>
    <mergeCell ref="C362:C365"/>
    <mergeCell ref="C367:C368"/>
    <mergeCell ref="N369:N384"/>
    <mergeCell ref="C371:C377"/>
    <mergeCell ref="C379:C384"/>
    <mergeCell ref="A385:A400"/>
    <mergeCell ref="N385:N400"/>
    <mergeCell ref="C387:C393"/>
    <mergeCell ref="C395:C400"/>
    <mergeCell ref="A419:A427"/>
    <mergeCell ref="N419:N427"/>
    <mergeCell ref="C421:C424"/>
    <mergeCell ref="C426:C427"/>
    <mergeCell ref="A410:A418"/>
    <mergeCell ref="N410:N418"/>
    <mergeCell ref="C412:C415"/>
    <mergeCell ref="C417:C418"/>
    <mergeCell ref="A401:A409"/>
    <mergeCell ref="N401:N409"/>
    <mergeCell ref="C403:C406"/>
    <mergeCell ref="C408:C409"/>
    <mergeCell ref="A453:A460"/>
    <mergeCell ref="N453:N460"/>
    <mergeCell ref="C455:C457"/>
    <mergeCell ref="C459:C460"/>
    <mergeCell ref="A443:A452"/>
    <mergeCell ref="N443:N452"/>
    <mergeCell ref="C445:C448"/>
    <mergeCell ref="C433:C437"/>
    <mergeCell ref="C439:C442"/>
    <mergeCell ref="M1:N1"/>
    <mergeCell ref="A485:A492"/>
    <mergeCell ref="N485:N489"/>
    <mergeCell ref="C487:C489"/>
    <mergeCell ref="N490:N492"/>
    <mergeCell ref="C491:C492"/>
    <mergeCell ref="A461:A464"/>
    <mergeCell ref="N461:N464"/>
    <mergeCell ref="C463:C464"/>
    <mergeCell ref="A465:A468"/>
    <mergeCell ref="N465:N468"/>
    <mergeCell ref="C467:C468"/>
    <mergeCell ref="N473:N477"/>
    <mergeCell ref="N478:N480"/>
    <mergeCell ref="A481:A484"/>
    <mergeCell ref="N481:N484"/>
    <mergeCell ref="C483:C484"/>
    <mergeCell ref="A469:A472"/>
    <mergeCell ref="N469:N472"/>
    <mergeCell ref="C471:C472"/>
    <mergeCell ref="A473:A480"/>
    <mergeCell ref="C475:C477"/>
    <mergeCell ref="C479:C480"/>
    <mergeCell ref="C450:C452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45" orientation="portrait" useFirstPageNumber="1" r:id="rId1"/>
  <headerFooter alignWithMargins="0">
    <oddHeader>&amp;C&amp;"Arial,Kursywa"Informacja o wykonaniu budżetu Województwa Zachodniopomorskiego za I kwartał 2014 roku
______________________________________________________________________________________________________________________</oddHeader>
    <oddFooter>&amp;C&amp;8&amp;P</oddFooter>
  </headerFooter>
  <rowBreaks count="5" manualBreakCount="5">
    <brk id="97" min="3" max="13" man="1"/>
    <brk id="188" min="3" max="13" man="1"/>
    <brk id="271" min="3" max="13" man="1"/>
    <brk id="359" min="3" max="13" man="1"/>
    <brk id="47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BN492"/>
  <sheetViews>
    <sheetView showGridLines="0" view="pageBreakPreview" zoomScaleNormal="120" zoomScaleSheetLayoutView="100" workbookViewId="0"/>
  </sheetViews>
  <sheetFormatPr defaultRowHeight="12.75" x14ac:dyDescent="0.2"/>
  <cols>
    <col min="1" max="1" width="4" style="24" customWidth="1"/>
    <col min="2" max="2" width="52.5703125" style="24" customWidth="1"/>
    <col min="3" max="3" width="9.42578125" style="209" customWidth="1"/>
    <col min="4" max="4" width="14" style="24" customWidth="1"/>
    <col min="5" max="5" width="13.42578125" style="24" hidden="1" customWidth="1"/>
    <col min="6" max="6" width="13.28515625" style="24" hidden="1" customWidth="1"/>
    <col min="7" max="7" width="13.28515625" style="24" customWidth="1"/>
    <col min="8" max="8" width="12.7109375" style="24" customWidth="1"/>
    <col min="9" max="9" width="12.85546875" style="24" customWidth="1"/>
    <col min="10" max="10" width="10.5703125" style="24" customWidth="1"/>
    <col min="11" max="11" width="11.42578125" style="24" customWidth="1"/>
    <col min="12" max="12" width="12.28515625" style="24" customWidth="1"/>
    <col min="13" max="13" width="11.7109375" style="24" hidden="1" customWidth="1"/>
    <col min="14" max="14" width="13.85546875" style="209" customWidth="1"/>
    <col min="15" max="15" width="14" style="24" customWidth="1"/>
    <col min="16" max="16" width="13" style="24" customWidth="1"/>
    <col min="17" max="17" width="12.140625" style="24" customWidth="1"/>
    <col min="18" max="18" width="9.5703125" style="24" customWidth="1"/>
    <col min="19" max="19" width="14.28515625" style="24" customWidth="1"/>
    <col min="20" max="20" width="12" style="24" customWidth="1"/>
    <col min="21" max="22" width="9.140625" style="24"/>
    <col min="23" max="23" width="12.5703125" style="24" customWidth="1"/>
    <col min="24" max="16384" width="9.140625" style="24"/>
  </cols>
  <sheetData>
    <row r="1" spans="1:66" ht="18.75" x14ac:dyDescent="0.3">
      <c r="A1" s="208"/>
      <c r="I1" s="28"/>
      <c r="J1" s="28"/>
      <c r="K1" s="3066" t="s">
        <v>377</v>
      </c>
      <c r="L1" s="3066"/>
      <c r="O1" s="1224"/>
      <c r="P1" s="1225"/>
    </row>
    <row r="2" spans="1:66" ht="33" customHeight="1" thickBot="1" x14ac:dyDescent="0.25">
      <c r="A2" s="208"/>
      <c r="I2" s="1226"/>
      <c r="N2" s="1227"/>
      <c r="O2" s="1225"/>
      <c r="P2" s="1225"/>
    </row>
    <row r="3" spans="1:66" ht="46.5" customHeight="1" thickBot="1" x14ac:dyDescent="0.5">
      <c r="A3" s="3339" t="s">
        <v>219</v>
      </c>
      <c r="B3" s="3340"/>
      <c r="C3" s="3340"/>
      <c r="D3" s="3340"/>
      <c r="E3" s="3340"/>
      <c r="F3" s="3340"/>
      <c r="G3" s="3340"/>
      <c r="H3" s="3340"/>
      <c r="I3" s="3340"/>
      <c r="J3" s="3340"/>
      <c r="K3" s="3340"/>
      <c r="L3" s="3340"/>
      <c r="M3" s="3340"/>
      <c r="N3" s="3341"/>
      <c r="O3" s="1228"/>
    </row>
    <row r="4" spans="1:66" ht="45.75" customHeight="1" thickBot="1" x14ac:dyDescent="0.25">
      <c r="A4" s="3342" t="s">
        <v>24</v>
      </c>
      <c r="B4" s="3343" t="s">
        <v>25</v>
      </c>
      <c r="C4" s="3344" t="s">
        <v>26</v>
      </c>
      <c r="D4" s="3026" t="s">
        <v>356</v>
      </c>
      <c r="E4" s="3027"/>
      <c r="F4" s="3027"/>
      <c r="G4" s="3027"/>
      <c r="H4" s="3028"/>
      <c r="I4" s="3026" t="s">
        <v>351</v>
      </c>
      <c r="J4" s="3027"/>
      <c r="K4" s="3027"/>
      <c r="L4" s="3262"/>
      <c r="M4" s="591"/>
      <c r="N4" s="3346" t="s">
        <v>27</v>
      </c>
      <c r="O4" s="1229"/>
    </row>
    <row r="5" spans="1:66" ht="26.25" customHeight="1" thickBot="1" x14ac:dyDescent="0.25">
      <c r="A5" s="3342"/>
      <c r="B5" s="3343"/>
      <c r="C5" s="3344"/>
      <c r="D5" s="3031" t="s">
        <v>0</v>
      </c>
      <c r="E5" s="3072" t="s">
        <v>360</v>
      </c>
      <c r="F5" s="3075" t="s">
        <v>361</v>
      </c>
      <c r="G5" s="3029" t="s">
        <v>257</v>
      </c>
      <c r="H5" s="3030"/>
      <c r="I5" s="3235" t="s">
        <v>350</v>
      </c>
      <c r="J5" s="3259" t="s">
        <v>300</v>
      </c>
      <c r="K5" s="3069" t="s">
        <v>357</v>
      </c>
      <c r="L5" s="3225"/>
      <c r="M5" s="592"/>
      <c r="N5" s="3347"/>
      <c r="O5" s="1230"/>
    </row>
    <row r="6" spans="1:66" ht="38.25" customHeight="1" thickBot="1" x14ac:dyDescent="0.25">
      <c r="A6" s="3342"/>
      <c r="B6" s="3343"/>
      <c r="C6" s="3344"/>
      <c r="D6" s="3032"/>
      <c r="E6" s="3073"/>
      <c r="F6" s="3076"/>
      <c r="G6" s="3059" t="s">
        <v>349</v>
      </c>
      <c r="H6" s="3061" t="s">
        <v>355</v>
      </c>
      <c r="I6" s="3236"/>
      <c r="J6" s="3260"/>
      <c r="K6" s="3078" t="s">
        <v>359</v>
      </c>
      <c r="L6" s="3239" t="s">
        <v>301</v>
      </c>
      <c r="M6" s="3241" t="s">
        <v>302</v>
      </c>
      <c r="N6" s="3347"/>
      <c r="O6" s="1230"/>
    </row>
    <row r="7" spans="1:66" ht="161.25" customHeight="1" thickBot="1" x14ac:dyDescent="0.25">
      <c r="A7" s="3342"/>
      <c r="B7" s="3343"/>
      <c r="C7" s="3344"/>
      <c r="D7" s="3243"/>
      <c r="E7" s="3244"/>
      <c r="F7" s="3345"/>
      <c r="G7" s="3274"/>
      <c r="H7" s="3275"/>
      <c r="I7" s="3237"/>
      <c r="J7" s="3261"/>
      <c r="K7" s="3238"/>
      <c r="L7" s="3240"/>
      <c r="M7" s="3242"/>
      <c r="N7" s="3348"/>
      <c r="O7" s="1230"/>
    </row>
    <row r="8" spans="1:66" s="598" customFormat="1" ht="13.5" customHeight="1" thickBot="1" x14ac:dyDescent="0.25">
      <c r="A8" s="3223">
        <v>1</v>
      </c>
      <c r="B8" s="3224"/>
      <c r="C8" s="593">
        <v>2</v>
      </c>
      <c r="D8" s="594">
        <v>3</v>
      </c>
      <c r="E8" s="595"/>
      <c r="F8" s="595"/>
      <c r="G8" s="595">
        <v>4</v>
      </c>
      <c r="H8" s="593">
        <v>5</v>
      </c>
      <c r="I8" s="594">
        <v>6</v>
      </c>
      <c r="J8" s="595">
        <v>7</v>
      </c>
      <c r="K8" s="595">
        <v>8</v>
      </c>
      <c r="L8" s="596">
        <v>9</v>
      </c>
      <c r="M8" s="596">
        <v>10</v>
      </c>
      <c r="N8" s="597">
        <v>10</v>
      </c>
      <c r="O8" s="1231"/>
    </row>
    <row r="9" spans="1:66" s="611" customFormat="1" ht="18" customHeight="1" thickBot="1" x14ac:dyDescent="0.25">
      <c r="A9" s="599"/>
      <c r="B9" s="600" t="s">
        <v>162</v>
      </c>
      <c r="C9" s="601"/>
      <c r="D9" s="602">
        <f>D10+D11</f>
        <v>132407955</v>
      </c>
      <c r="E9" s="605">
        <f t="shared" ref="E9:H9" si="0">E10+E11</f>
        <v>61657054</v>
      </c>
      <c r="F9" s="604">
        <f t="shared" si="0"/>
        <v>19606629</v>
      </c>
      <c r="G9" s="605">
        <f t="shared" si="0"/>
        <v>34968737</v>
      </c>
      <c r="H9" s="605">
        <f t="shared" si="0"/>
        <v>16175535</v>
      </c>
      <c r="I9" s="602">
        <f>I10+I11</f>
        <v>83922957</v>
      </c>
      <c r="J9" s="607">
        <f t="shared" ref="J9:J15" si="1">I9/D9*100</f>
        <v>63.382110991745165</v>
      </c>
      <c r="K9" s="603">
        <f>K10+K11</f>
        <v>3954487</v>
      </c>
      <c r="L9" s="607">
        <f>K9/G9*100</f>
        <v>11.308635482030706</v>
      </c>
      <c r="M9" s="605">
        <f t="shared" ref="M9:M22" si="2">+K9-G9</f>
        <v>-31014250</v>
      </c>
      <c r="N9" s="1232"/>
      <c r="O9" s="1233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10"/>
      <c r="AE9" s="610"/>
      <c r="AF9" s="610"/>
      <c r="AG9" s="610"/>
      <c r="AH9" s="610"/>
      <c r="AI9" s="610"/>
      <c r="AJ9" s="610"/>
      <c r="AK9" s="610"/>
      <c r="AL9" s="610"/>
      <c r="AM9" s="610"/>
      <c r="AN9" s="610"/>
      <c r="AO9" s="610"/>
      <c r="AP9" s="610"/>
      <c r="AQ9" s="610"/>
      <c r="AR9" s="610"/>
      <c r="AS9" s="610"/>
      <c r="AT9" s="610"/>
      <c r="AU9" s="610"/>
      <c r="AV9" s="610"/>
      <c r="AW9" s="610"/>
      <c r="AX9" s="610"/>
      <c r="AY9" s="610"/>
      <c r="AZ9" s="610"/>
      <c r="BA9" s="610"/>
      <c r="BB9" s="610"/>
      <c r="BC9" s="610"/>
      <c r="BD9" s="610"/>
      <c r="BE9" s="610"/>
      <c r="BF9" s="610"/>
      <c r="BG9" s="610"/>
      <c r="BH9" s="610"/>
      <c r="BI9" s="610"/>
      <c r="BJ9" s="610"/>
      <c r="BK9" s="610"/>
      <c r="BL9" s="610"/>
      <c r="BM9" s="610"/>
      <c r="BN9" s="610"/>
    </row>
    <row r="10" spans="1:66" s="621" customFormat="1" ht="14.25" customHeight="1" thickTop="1" x14ac:dyDescent="0.2">
      <c r="A10" s="612"/>
      <c r="B10" s="613" t="s">
        <v>163</v>
      </c>
      <c r="C10" s="614"/>
      <c r="D10" s="39">
        <f>D31+D38+D49+D61+D73+D97+D130+D142+D166+D178+D190+D109+D85+D202+D121</f>
        <v>132010738</v>
      </c>
      <c r="E10" s="40">
        <f t="shared" ref="E10:K10" si="3">E31+E38+E49+E61+E73+E97+E130+E142+E166+E178+E190+E109+E85+E202+E121</f>
        <v>61432778</v>
      </c>
      <c r="F10" s="40">
        <f t="shared" si="3"/>
        <v>19533688</v>
      </c>
      <c r="G10" s="40">
        <f t="shared" si="3"/>
        <v>34868737</v>
      </c>
      <c r="H10" s="615">
        <f t="shared" si="3"/>
        <v>16175535</v>
      </c>
      <c r="I10" s="39">
        <f>I31+I38+I49+I61+I73+I97+I130+I142+I166+I178+I190+I109+I85+I202+I121</f>
        <v>83631179</v>
      </c>
      <c r="J10" s="43">
        <f t="shared" si="1"/>
        <v>63.351800214918882</v>
      </c>
      <c r="K10" s="40">
        <f t="shared" si="3"/>
        <v>3954487</v>
      </c>
      <c r="L10" s="1092">
        <f>K10/G10*100</f>
        <v>11.341067501240436</v>
      </c>
      <c r="M10" s="617">
        <f t="shared" si="2"/>
        <v>-30914250</v>
      </c>
      <c r="N10" s="1234"/>
      <c r="O10" s="1235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0"/>
      <c r="AI10" s="620"/>
      <c r="AJ10" s="620"/>
      <c r="AK10" s="620"/>
      <c r="AL10" s="620"/>
      <c r="AM10" s="620"/>
      <c r="AN10" s="620"/>
      <c r="AO10" s="620"/>
      <c r="AP10" s="620"/>
      <c r="AQ10" s="620"/>
      <c r="AR10" s="620"/>
      <c r="AS10" s="620"/>
      <c r="AT10" s="620"/>
      <c r="AU10" s="620"/>
      <c r="AV10" s="620"/>
      <c r="AW10" s="620"/>
      <c r="AX10" s="620"/>
      <c r="AY10" s="620"/>
      <c r="AZ10" s="620"/>
      <c r="BA10" s="620"/>
      <c r="BB10" s="620"/>
      <c r="BC10" s="620"/>
      <c r="BD10" s="620"/>
      <c r="BE10" s="620"/>
      <c r="BF10" s="620"/>
      <c r="BG10" s="620"/>
      <c r="BH10" s="620"/>
      <c r="BI10" s="620"/>
      <c r="BJ10" s="620"/>
      <c r="BK10" s="620"/>
      <c r="BL10" s="620"/>
      <c r="BM10" s="620"/>
      <c r="BN10" s="620"/>
    </row>
    <row r="11" spans="1:66" s="611" customFormat="1" ht="14.25" customHeight="1" thickBot="1" x14ac:dyDescent="0.25">
      <c r="A11" s="622"/>
      <c r="B11" s="623" t="s">
        <v>164</v>
      </c>
      <c r="C11" s="624"/>
      <c r="D11" s="625">
        <f t="shared" ref="D11:H11" si="4">D154</f>
        <v>397217</v>
      </c>
      <c r="E11" s="626">
        <f t="shared" si="4"/>
        <v>224276</v>
      </c>
      <c r="F11" s="626">
        <f t="shared" si="4"/>
        <v>72941</v>
      </c>
      <c r="G11" s="626">
        <f t="shared" si="4"/>
        <v>100000</v>
      </c>
      <c r="H11" s="1236">
        <f t="shared" si="4"/>
        <v>0</v>
      </c>
      <c r="I11" s="627">
        <f>I154</f>
        <v>291778</v>
      </c>
      <c r="J11" s="1099">
        <f t="shared" si="1"/>
        <v>73.45556710815498</v>
      </c>
      <c r="K11" s="1237">
        <f t="shared" ref="K11" si="5">K154</f>
        <v>0</v>
      </c>
      <c r="L11" s="1099">
        <f>K11/G11*100</f>
        <v>0</v>
      </c>
      <c r="M11" s="629">
        <f t="shared" si="2"/>
        <v>-100000</v>
      </c>
      <c r="N11" s="1232"/>
      <c r="O11" s="1233"/>
      <c r="P11" s="610"/>
      <c r="Q11" s="610"/>
      <c r="R11" s="610"/>
      <c r="S11" s="610"/>
      <c r="T11" s="610"/>
      <c r="U11" s="610"/>
      <c r="V11" s="610"/>
      <c r="W11" s="610"/>
      <c r="X11" s="610"/>
      <c r="Y11" s="610"/>
      <c r="Z11" s="610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610"/>
      <c r="AS11" s="610"/>
      <c r="AT11" s="610"/>
      <c r="AU11" s="610"/>
      <c r="AV11" s="610"/>
      <c r="AW11" s="610"/>
      <c r="AX11" s="610"/>
      <c r="AY11" s="610"/>
      <c r="AZ11" s="610"/>
      <c r="BA11" s="610"/>
      <c r="BB11" s="610"/>
      <c r="BC11" s="610"/>
      <c r="BD11" s="610"/>
      <c r="BE11" s="610"/>
      <c r="BF11" s="610"/>
      <c r="BG11" s="610"/>
      <c r="BH11" s="610"/>
      <c r="BI11" s="610"/>
      <c r="BJ11" s="610"/>
      <c r="BK11" s="610"/>
      <c r="BL11" s="610"/>
      <c r="BM11" s="610"/>
      <c r="BN11" s="610"/>
    </row>
    <row r="12" spans="1:66" ht="15" customHeight="1" x14ac:dyDescent="0.2">
      <c r="A12" s="3297"/>
      <c r="B12" s="631" t="s">
        <v>2</v>
      </c>
      <c r="C12" s="632"/>
      <c r="D12" s="1238">
        <f t="shared" ref="D12" si="6">D13+D16</f>
        <v>132407955</v>
      </c>
      <c r="E12" s="1239">
        <f>E13+E16</f>
        <v>61657054</v>
      </c>
      <c r="F12" s="1239">
        <f>F13+F16</f>
        <v>19606629</v>
      </c>
      <c r="G12" s="1239">
        <f>G13+G16</f>
        <v>34968737</v>
      </c>
      <c r="H12" s="1240">
        <f>H13+H16</f>
        <v>16175535</v>
      </c>
      <c r="I12" s="1241">
        <f>I13+I16</f>
        <v>83922957</v>
      </c>
      <c r="J12" s="637">
        <f t="shared" si="1"/>
        <v>63.382110991745165</v>
      </c>
      <c r="K12" s="1242">
        <f>K13+K16</f>
        <v>3954487</v>
      </c>
      <c r="L12" s="637">
        <f>K12/G12*100</f>
        <v>11.308635482030706</v>
      </c>
      <c r="M12" s="1243">
        <f t="shared" si="2"/>
        <v>-31014250</v>
      </c>
      <c r="N12" s="3300"/>
      <c r="O12" s="1244"/>
      <c r="P12" s="218"/>
      <c r="Q12" s="218"/>
    </row>
    <row r="13" spans="1:66" s="219" customFormat="1" ht="15" customHeight="1" x14ac:dyDescent="0.2">
      <c r="A13" s="3298"/>
      <c r="B13" s="1245" t="s">
        <v>17</v>
      </c>
      <c r="C13" s="3303"/>
      <c r="D13" s="1246">
        <f t="shared" ref="D13" si="7">D14+D15</f>
        <v>15733560</v>
      </c>
      <c r="E13" s="1247">
        <f>E14+E15</f>
        <v>8179230</v>
      </c>
      <c r="F13" s="1247">
        <f>F14+F15</f>
        <v>2683818</v>
      </c>
      <c r="G13" s="1247">
        <f>G14+G15</f>
        <v>2940360</v>
      </c>
      <c r="H13" s="1248">
        <f>H14+H15</f>
        <v>1930152</v>
      </c>
      <c r="I13" s="1249">
        <f>I14+I15</f>
        <v>11230134</v>
      </c>
      <c r="J13" s="646">
        <f t="shared" si="1"/>
        <v>71.376942027106395</v>
      </c>
      <c r="K13" s="1250">
        <f>K14+K15</f>
        <v>541527</v>
      </c>
      <c r="L13" s="646">
        <f t="shared" ref="L13:L22" si="8">K13/G13*100</f>
        <v>18.41703056768559</v>
      </c>
      <c r="M13" s="1251">
        <f t="shared" si="2"/>
        <v>-2398833</v>
      </c>
      <c r="N13" s="3301"/>
      <c r="O13" s="1244"/>
      <c r="P13" s="218"/>
    </row>
    <row r="14" spans="1:66" ht="15" customHeight="1" x14ac:dyDescent="0.2">
      <c r="A14" s="3298"/>
      <c r="B14" s="661" t="s">
        <v>4</v>
      </c>
      <c r="C14" s="3304"/>
      <c r="D14" s="1252">
        <f>D63+D156+D75+D99+D144+D51+D111+D87+D204+D123</f>
        <v>11593967</v>
      </c>
      <c r="E14" s="1253">
        <f t="shared" ref="E14:K14" si="9">E63+E156+E75+E99+E144+E51+E111+E87+E204+E123</f>
        <v>6071741</v>
      </c>
      <c r="F14" s="1253">
        <f t="shared" si="9"/>
        <v>1784505</v>
      </c>
      <c r="G14" s="1253">
        <f t="shared" si="9"/>
        <v>2098031</v>
      </c>
      <c r="H14" s="1254">
        <f t="shared" si="9"/>
        <v>1639690</v>
      </c>
      <c r="I14" s="1255">
        <f>I63+I156+I75+I99+I144+I51+I111+I87+I204+I123</f>
        <v>8112790</v>
      </c>
      <c r="J14" s="657">
        <f t="shared" si="1"/>
        <v>69.97423746332899</v>
      </c>
      <c r="K14" s="1256">
        <f t="shared" si="9"/>
        <v>370924</v>
      </c>
      <c r="L14" s="657">
        <f t="shared" si="8"/>
        <v>17.679624371613194</v>
      </c>
      <c r="M14" s="1257">
        <f t="shared" si="2"/>
        <v>-1727107</v>
      </c>
      <c r="N14" s="3301"/>
      <c r="O14" s="1244"/>
    </row>
    <row r="15" spans="1:66" ht="15" customHeight="1" x14ac:dyDescent="0.2">
      <c r="A15" s="3298"/>
      <c r="B15" s="671" t="s">
        <v>7</v>
      </c>
      <c r="C15" s="3304"/>
      <c r="D15" s="1252">
        <f t="shared" ref="D15:H15" si="10">D64+D157+D76+D100+D40+D133+D145+D169+D52+D112+D88</f>
        <v>4139593</v>
      </c>
      <c r="E15" s="1253">
        <f t="shared" si="10"/>
        <v>2107489</v>
      </c>
      <c r="F15" s="1253">
        <f t="shared" si="10"/>
        <v>899313</v>
      </c>
      <c r="G15" s="1253">
        <f t="shared" si="10"/>
        <v>842329</v>
      </c>
      <c r="H15" s="1254">
        <f t="shared" si="10"/>
        <v>290462</v>
      </c>
      <c r="I15" s="1255">
        <f>I64+I157+I76+I100+I40+I133+I145+I169+I52+I112+I88</f>
        <v>3117344</v>
      </c>
      <c r="J15" s="657">
        <f t="shared" si="1"/>
        <v>75.305567479701509</v>
      </c>
      <c r="K15" s="1258">
        <f>K64+K157+K76+K100+K40+K133+K145+K169+K52+K112+K88</f>
        <v>170603</v>
      </c>
      <c r="L15" s="657">
        <f t="shared" si="8"/>
        <v>20.253725088415571</v>
      </c>
      <c r="M15" s="1259">
        <f t="shared" si="2"/>
        <v>-671726</v>
      </c>
      <c r="N15" s="3301"/>
      <c r="O15" s="1244"/>
    </row>
    <row r="16" spans="1:66" s="219" customFormat="1" ht="15" customHeight="1" x14ac:dyDescent="0.2">
      <c r="A16" s="3298"/>
      <c r="B16" s="641" t="s">
        <v>12</v>
      </c>
      <c r="C16" s="3304"/>
      <c r="D16" s="1260">
        <f t="shared" ref="D16:K16" si="11">D17</f>
        <v>116674395</v>
      </c>
      <c r="E16" s="1247">
        <f t="shared" si="11"/>
        <v>53477824</v>
      </c>
      <c r="F16" s="1247">
        <f t="shared" si="11"/>
        <v>16922811</v>
      </c>
      <c r="G16" s="1247">
        <f t="shared" si="11"/>
        <v>32028377</v>
      </c>
      <c r="H16" s="1248">
        <f t="shared" si="11"/>
        <v>14245383</v>
      </c>
      <c r="I16" s="1249">
        <f t="shared" si="11"/>
        <v>72692823</v>
      </c>
      <c r="J16" s="1261">
        <f t="shared" ref="J16:J22" si="12">I16/D16*100</f>
        <v>62.304006804577817</v>
      </c>
      <c r="K16" s="1250">
        <f t="shared" si="11"/>
        <v>3412960</v>
      </c>
      <c r="L16" s="1261">
        <f t="shared" si="8"/>
        <v>10.656050414293549</v>
      </c>
      <c r="M16" s="1251">
        <f t="shared" si="2"/>
        <v>-28615417</v>
      </c>
      <c r="N16" s="3301"/>
      <c r="O16" s="1244"/>
    </row>
    <row r="17" spans="1:16" ht="15" customHeight="1" x14ac:dyDescent="0.2">
      <c r="A17" s="3298"/>
      <c r="B17" s="661" t="s">
        <v>14</v>
      </c>
      <c r="C17" s="3305"/>
      <c r="D17" s="1252">
        <f>D26+D66+D159+D78+D102+D42+D135+D147+D171+D33+D54+D183+D195+D114+D90+D207+D125</f>
        <v>116674395</v>
      </c>
      <c r="E17" s="1253">
        <f t="shared" ref="E17:K17" si="13">E26+E66+E159+E78+E102+E42+E135+E147+E171+E33+E54+E183+E195+E114+E90+E207+E125</f>
        <v>53477824</v>
      </c>
      <c r="F17" s="1253">
        <f t="shared" si="13"/>
        <v>16922811</v>
      </c>
      <c r="G17" s="1253">
        <f t="shared" si="13"/>
        <v>32028377</v>
      </c>
      <c r="H17" s="1254">
        <f t="shared" si="13"/>
        <v>14245383</v>
      </c>
      <c r="I17" s="1255">
        <f>I26+I66+I159+I78+I102+I42+I135+I147+I171+I33+I54+I183+I195+I114+I90+I207+I125</f>
        <v>72692823</v>
      </c>
      <c r="J17" s="1262">
        <f t="shared" si="12"/>
        <v>62.304006804577817</v>
      </c>
      <c r="K17" s="1256">
        <f t="shared" si="13"/>
        <v>3412960</v>
      </c>
      <c r="L17" s="1263">
        <f t="shared" si="8"/>
        <v>10.656050414293549</v>
      </c>
      <c r="M17" s="1264">
        <f t="shared" si="2"/>
        <v>-28615417</v>
      </c>
      <c r="N17" s="3301"/>
      <c r="O17" s="1244"/>
    </row>
    <row r="18" spans="1:16" ht="15" customHeight="1" x14ac:dyDescent="0.2">
      <c r="A18" s="3298"/>
      <c r="B18" s="220" t="s">
        <v>16</v>
      </c>
      <c r="C18" s="25"/>
      <c r="D18" s="1208">
        <f t="shared" ref="D18" si="14">D19+D21</f>
        <v>120813988</v>
      </c>
      <c r="E18" s="978">
        <f>E19+E21</f>
        <v>56202948</v>
      </c>
      <c r="F18" s="978">
        <f>F19+F21</f>
        <v>16962113</v>
      </c>
      <c r="G18" s="978">
        <f>G19+G21</f>
        <v>33110748</v>
      </c>
      <c r="H18" s="1212">
        <f>H19+H21</f>
        <v>14538179</v>
      </c>
      <c r="I18" s="1265">
        <f>I19+I21</f>
        <v>76596457</v>
      </c>
      <c r="J18" s="1266">
        <f t="shared" si="12"/>
        <v>63.400321658117932</v>
      </c>
      <c r="K18" s="1267">
        <f>K19+K21</f>
        <v>4237354</v>
      </c>
      <c r="L18" s="1266">
        <f t="shared" si="8"/>
        <v>12.797518195602226</v>
      </c>
      <c r="M18" s="1268">
        <f t="shared" si="2"/>
        <v>-28873394</v>
      </c>
      <c r="N18" s="3301"/>
      <c r="O18" s="1244"/>
      <c r="P18" s="218"/>
    </row>
    <row r="19" spans="1:16" ht="15" customHeight="1" x14ac:dyDescent="0.2">
      <c r="A19" s="3298"/>
      <c r="B19" s="1269" t="s">
        <v>17</v>
      </c>
      <c r="C19" s="3319"/>
      <c r="D19" s="1270">
        <f t="shared" ref="D19:K19" si="15">D20</f>
        <v>4139593</v>
      </c>
      <c r="E19" s="1271">
        <f t="shared" si="15"/>
        <v>2107139</v>
      </c>
      <c r="F19" s="1271">
        <f t="shared" si="15"/>
        <v>899313</v>
      </c>
      <c r="G19" s="1271">
        <f t="shared" si="15"/>
        <v>842329</v>
      </c>
      <c r="H19" s="1272">
        <f t="shared" si="15"/>
        <v>290812</v>
      </c>
      <c r="I19" s="1273">
        <f t="shared" si="15"/>
        <v>3247181</v>
      </c>
      <c r="J19" s="1261">
        <f t="shared" si="12"/>
        <v>78.442035243561378</v>
      </c>
      <c r="K19" s="1274">
        <f t="shared" si="15"/>
        <v>289070</v>
      </c>
      <c r="L19" s="1261">
        <f t="shared" si="8"/>
        <v>34.317944651080516</v>
      </c>
      <c r="M19" s="1275">
        <f t="shared" si="2"/>
        <v>-553259</v>
      </c>
      <c r="N19" s="3301"/>
      <c r="O19" s="1244"/>
    </row>
    <row r="20" spans="1:16" ht="15" customHeight="1" x14ac:dyDescent="0.2">
      <c r="A20" s="3298"/>
      <c r="B20" s="671" t="s">
        <v>7</v>
      </c>
      <c r="C20" s="3320"/>
      <c r="D20" s="1252">
        <f t="shared" ref="D20:I20" si="16">D69+D162+D81+D105+D45+D138+D150+D174+D57+D117+D93</f>
        <v>4139593</v>
      </c>
      <c r="E20" s="1253">
        <f t="shared" si="16"/>
        <v>2107139</v>
      </c>
      <c r="F20" s="1253">
        <f t="shared" si="16"/>
        <v>899313</v>
      </c>
      <c r="G20" s="1253">
        <f t="shared" si="16"/>
        <v>842329</v>
      </c>
      <c r="H20" s="1254">
        <f t="shared" si="16"/>
        <v>290812</v>
      </c>
      <c r="I20" s="1255">
        <f t="shared" si="16"/>
        <v>3247181</v>
      </c>
      <c r="J20" s="1263">
        <f t="shared" si="12"/>
        <v>78.442035243561378</v>
      </c>
      <c r="K20" s="1276">
        <f>K69+K162+K81+K105+K45+K138+K150+K174+K57+K117+K93</f>
        <v>289070</v>
      </c>
      <c r="L20" s="1263">
        <f t="shared" si="8"/>
        <v>34.317944651080516</v>
      </c>
      <c r="M20" s="1264">
        <f t="shared" si="2"/>
        <v>-553259</v>
      </c>
      <c r="N20" s="3301"/>
      <c r="O20" s="1244"/>
    </row>
    <row r="21" spans="1:16" ht="15" customHeight="1" x14ac:dyDescent="0.2">
      <c r="A21" s="3298"/>
      <c r="B21" s="692" t="s">
        <v>12</v>
      </c>
      <c r="C21" s="3320"/>
      <c r="D21" s="1270">
        <f t="shared" ref="D21:K21" si="17">D22</f>
        <v>116674395</v>
      </c>
      <c r="E21" s="1271">
        <f t="shared" si="17"/>
        <v>54095809</v>
      </c>
      <c r="F21" s="1271">
        <f t="shared" si="17"/>
        <v>16062800</v>
      </c>
      <c r="G21" s="1271">
        <f t="shared" si="17"/>
        <v>32268419</v>
      </c>
      <c r="H21" s="1272">
        <f t="shared" si="17"/>
        <v>14247367</v>
      </c>
      <c r="I21" s="1273">
        <f t="shared" si="17"/>
        <v>73349276</v>
      </c>
      <c r="J21" s="1261">
        <f t="shared" si="12"/>
        <v>62.866643533913333</v>
      </c>
      <c r="K21" s="1274">
        <f t="shared" si="17"/>
        <v>3948284</v>
      </c>
      <c r="L21" s="1261">
        <f t="shared" si="8"/>
        <v>12.235752857925887</v>
      </c>
      <c r="M21" s="1275">
        <f t="shared" si="2"/>
        <v>-28320135</v>
      </c>
      <c r="N21" s="3301"/>
      <c r="O21" s="1244"/>
    </row>
    <row r="22" spans="1:16" ht="15" customHeight="1" thickBot="1" x14ac:dyDescent="0.25">
      <c r="A22" s="3299"/>
      <c r="B22" s="1277" t="s">
        <v>14</v>
      </c>
      <c r="C22" s="3321"/>
      <c r="D22" s="1278">
        <f>D29+D71+D164+D83+D107+D47+D140+D152+D176+D36+D59+D188+D200+D119+D95+D212+D128</f>
        <v>116674395</v>
      </c>
      <c r="E22" s="1279">
        <f t="shared" ref="E22:K22" si="18">E29+E71+E164+E83+E107+E47+E140+E152+E176+E36+E59+E188+E200+E119+E95+E212+E128</f>
        <v>54095809</v>
      </c>
      <c r="F22" s="1279">
        <f t="shared" si="18"/>
        <v>16062800</v>
      </c>
      <c r="G22" s="1279">
        <f t="shared" si="18"/>
        <v>32268419</v>
      </c>
      <c r="H22" s="1280">
        <f t="shared" si="18"/>
        <v>14247367</v>
      </c>
      <c r="I22" s="1281">
        <f t="shared" si="18"/>
        <v>73349276</v>
      </c>
      <c r="J22" s="1282">
        <f t="shared" si="12"/>
        <v>62.866643533913333</v>
      </c>
      <c r="K22" s="1283">
        <f t="shared" si="18"/>
        <v>3948284</v>
      </c>
      <c r="L22" s="1262">
        <f t="shared" si="8"/>
        <v>12.235752857925887</v>
      </c>
      <c r="M22" s="1284">
        <f t="shared" si="2"/>
        <v>-28320135</v>
      </c>
      <c r="N22" s="3302"/>
      <c r="O22" s="1244"/>
    </row>
    <row r="23" spans="1:16" ht="48.75" hidden="1" customHeight="1" x14ac:dyDescent="0.2">
      <c r="A23" s="3306" t="s">
        <v>32</v>
      </c>
      <c r="B23" s="1285" t="s">
        <v>101</v>
      </c>
      <c r="C23" s="1286"/>
      <c r="D23" s="3182" t="s">
        <v>102</v>
      </c>
      <c r="E23" s="3183"/>
      <c r="F23" s="3183"/>
      <c r="G23" s="3183"/>
      <c r="H23" s="3322"/>
      <c r="I23" s="342"/>
      <c r="J23" s="343" t="e">
        <f>I23/#REF!*100</f>
        <v>#REF!</v>
      </c>
      <c r="K23" s="343"/>
      <c r="L23" s="343" t="e">
        <f>K23/#REF!*100</f>
        <v>#REF!</v>
      </c>
      <c r="M23" s="1243">
        <f t="shared" ref="M23:M63" si="19">+K23-G23*0.25</f>
        <v>0</v>
      </c>
      <c r="N23" s="3290" t="s">
        <v>103</v>
      </c>
      <c r="O23" s="1244"/>
    </row>
    <row r="24" spans="1:16" ht="13.5" hidden="1" customHeight="1" x14ac:dyDescent="0.2">
      <c r="A24" s="3131"/>
      <c r="B24" s="220" t="s">
        <v>2</v>
      </c>
      <c r="C24" s="25"/>
      <c r="D24" s="299">
        <v>0</v>
      </c>
      <c r="E24" s="287">
        <v>0</v>
      </c>
      <c r="F24" s="287">
        <v>0</v>
      </c>
      <c r="G24" s="287">
        <v>0</v>
      </c>
      <c r="H24" s="824">
        <v>0</v>
      </c>
      <c r="I24" s="299">
        <v>0</v>
      </c>
      <c r="J24" s="979" t="e">
        <f>I24/#REF!*100</f>
        <v>#REF!</v>
      </c>
      <c r="K24" s="287">
        <v>0</v>
      </c>
      <c r="L24" s="979" t="e">
        <f>K24/#REF!*100</f>
        <v>#REF!</v>
      </c>
      <c r="M24" s="1243">
        <f t="shared" si="19"/>
        <v>0</v>
      </c>
      <c r="N24" s="3281"/>
      <c r="O24" s="1244"/>
    </row>
    <row r="25" spans="1:16" ht="11.25" hidden="1" customHeight="1" x14ac:dyDescent="0.2">
      <c r="A25" s="3131"/>
      <c r="B25" s="253" t="s">
        <v>12</v>
      </c>
      <c r="C25" s="3308" t="s">
        <v>104</v>
      </c>
      <c r="D25" s="304">
        <v>0</v>
      </c>
      <c r="E25" s="257">
        <v>0</v>
      </c>
      <c r="F25" s="944">
        <v>0</v>
      </c>
      <c r="G25" s="944">
        <v>0</v>
      </c>
      <c r="H25" s="302">
        <v>0</v>
      </c>
      <c r="I25" s="1287">
        <v>0</v>
      </c>
      <c r="J25" s="944" t="e">
        <f>I25/#REF!*100</f>
        <v>#REF!</v>
      </c>
      <c r="K25" s="944">
        <v>0</v>
      </c>
      <c r="L25" s="944" t="e">
        <f>K25/#REF!*100</f>
        <v>#REF!</v>
      </c>
      <c r="M25" s="1243">
        <f t="shared" si="19"/>
        <v>0</v>
      </c>
      <c r="N25" s="3281"/>
      <c r="O25" s="1244"/>
    </row>
    <row r="26" spans="1:16" ht="13.5" hidden="1" customHeight="1" x14ac:dyDescent="0.2">
      <c r="A26" s="3131"/>
      <c r="B26" s="243" t="s">
        <v>14</v>
      </c>
      <c r="C26" s="3308"/>
      <c r="D26" s="783">
        <v>0</v>
      </c>
      <c r="E26" s="250">
        <v>0</v>
      </c>
      <c r="F26" s="250">
        <v>0</v>
      </c>
      <c r="G26" s="250">
        <v>0</v>
      </c>
      <c r="H26" s="782">
        <v>0</v>
      </c>
      <c r="I26" s="784">
        <v>0</v>
      </c>
      <c r="J26" s="1288" t="e">
        <f>I26/#REF!*100</f>
        <v>#REF!</v>
      </c>
      <c r="K26" s="250">
        <v>0</v>
      </c>
      <c r="L26" s="1288" t="e">
        <f>K26/#REF!*100</f>
        <v>#REF!</v>
      </c>
      <c r="M26" s="1243">
        <f t="shared" si="19"/>
        <v>0</v>
      </c>
      <c r="N26" s="3281"/>
      <c r="O26" s="1244"/>
    </row>
    <row r="27" spans="1:16" ht="13.5" hidden="1" customHeight="1" x14ac:dyDescent="0.2">
      <c r="A27" s="3132"/>
      <c r="B27" s="220" t="s">
        <v>16</v>
      </c>
      <c r="C27" s="25"/>
      <c r="D27" s="299">
        <v>0</v>
      </c>
      <c r="E27" s="287">
        <v>0</v>
      </c>
      <c r="F27" s="287">
        <v>0</v>
      </c>
      <c r="G27" s="287">
        <v>0</v>
      </c>
      <c r="H27" s="824">
        <v>0</v>
      </c>
      <c r="I27" s="299">
        <v>0</v>
      </c>
      <c r="J27" s="979" t="e">
        <f>I27/#REF!*100</f>
        <v>#REF!</v>
      </c>
      <c r="K27" s="287">
        <v>0</v>
      </c>
      <c r="L27" s="979" t="e">
        <f>K27/#REF!*100</f>
        <v>#REF!</v>
      </c>
      <c r="M27" s="1243">
        <f t="shared" si="19"/>
        <v>0</v>
      </c>
      <c r="N27" s="3188"/>
      <c r="O27" s="1244"/>
    </row>
    <row r="28" spans="1:16" ht="12" hidden="1" customHeight="1" x14ac:dyDescent="0.2">
      <c r="A28" s="3132"/>
      <c r="B28" s="253" t="s">
        <v>12</v>
      </c>
      <c r="C28" s="3323" t="s">
        <v>105</v>
      </c>
      <c r="D28" s="304">
        <v>0</v>
      </c>
      <c r="E28" s="257">
        <v>0</v>
      </c>
      <c r="F28" s="257">
        <v>0</v>
      </c>
      <c r="G28" s="257">
        <v>0</v>
      </c>
      <c r="H28" s="258">
        <v>0</v>
      </c>
      <c r="I28" s="304">
        <v>0</v>
      </c>
      <c r="J28" s="944" t="e">
        <f>I28/#REF!*100</f>
        <v>#REF!</v>
      </c>
      <c r="K28" s="257">
        <v>0</v>
      </c>
      <c r="L28" s="944" t="e">
        <f>K28/#REF!*100</f>
        <v>#REF!</v>
      </c>
      <c r="M28" s="1243">
        <f t="shared" si="19"/>
        <v>0</v>
      </c>
      <c r="N28" s="3188"/>
      <c r="O28" s="1244"/>
    </row>
    <row r="29" spans="1:16" ht="13.5" hidden="1" customHeight="1" thickBot="1" x14ac:dyDescent="0.25">
      <c r="A29" s="3133"/>
      <c r="B29" s="828" t="s">
        <v>14</v>
      </c>
      <c r="C29" s="3324"/>
      <c r="D29" s="817">
        <v>0</v>
      </c>
      <c r="E29" s="818">
        <v>0</v>
      </c>
      <c r="F29" s="818">
        <v>0</v>
      </c>
      <c r="G29" s="818">
        <v>0</v>
      </c>
      <c r="H29" s="876">
        <v>0</v>
      </c>
      <c r="I29" s="1289">
        <v>0</v>
      </c>
      <c r="J29" s="1290" t="e">
        <f>I29/#REF!*100</f>
        <v>#REF!</v>
      </c>
      <c r="K29" s="818">
        <v>0</v>
      </c>
      <c r="L29" s="1290" t="e">
        <f>K29/#REF!*100</f>
        <v>#REF!</v>
      </c>
      <c r="M29" s="1243">
        <f t="shared" si="19"/>
        <v>0</v>
      </c>
      <c r="N29" s="3189"/>
      <c r="O29" s="1244"/>
    </row>
    <row r="30" spans="1:16" ht="24" customHeight="1" x14ac:dyDescent="0.2">
      <c r="A30" s="3306" t="s">
        <v>32</v>
      </c>
      <c r="B30" s="831" t="s">
        <v>220</v>
      </c>
      <c r="C30" s="236" t="s">
        <v>171</v>
      </c>
      <c r="D30" s="237"/>
      <c r="E30" s="238"/>
      <c r="F30" s="238"/>
      <c r="G30" s="238"/>
      <c r="H30" s="1291"/>
      <c r="I30" s="237"/>
      <c r="J30" s="238"/>
      <c r="K30" s="238"/>
      <c r="L30" s="238"/>
      <c r="M30" s="240"/>
      <c r="N30" s="3290" t="s">
        <v>103</v>
      </c>
      <c r="O30" s="1244"/>
    </row>
    <row r="31" spans="1:16" ht="15" customHeight="1" x14ac:dyDescent="0.2">
      <c r="A31" s="3131"/>
      <c r="B31" s="220" t="s">
        <v>2</v>
      </c>
      <c r="C31" s="25"/>
      <c r="D31" s="233">
        <f t="shared" ref="D31:H32" si="20">+D32</f>
        <v>5486623</v>
      </c>
      <c r="E31" s="234">
        <f t="shared" si="20"/>
        <v>5448723</v>
      </c>
      <c r="F31" s="234">
        <f t="shared" si="20"/>
        <v>37900</v>
      </c>
      <c r="G31" s="234">
        <f t="shared" si="20"/>
        <v>0</v>
      </c>
      <c r="H31" s="744">
        <f t="shared" si="20"/>
        <v>0</v>
      </c>
      <c r="I31" s="233">
        <f>I32</f>
        <v>5486215</v>
      </c>
      <c r="J31" s="1266">
        <f>I31/D31*100</f>
        <v>99.99256373182557</v>
      </c>
      <c r="K31" s="979">
        <f>+K32</f>
        <v>0</v>
      </c>
      <c r="L31" s="979">
        <v>0</v>
      </c>
      <c r="M31" s="241">
        <f>+K31-G31</f>
        <v>0</v>
      </c>
      <c r="N31" s="3281"/>
      <c r="O31" s="1244"/>
    </row>
    <row r="32" spans="1:16" ht="15" customHeight="1" x14ac:dyDescent="0.2">
      <c r="A32" s="3131"/>
      <c r="B32" s="253" t="s">
        <v>12</v>
      </c>
      <c r="C32" s="3308" t="s">
        <v>104</v>
      </c>
      <c r="D32" s="254">
        <f t="shared" si="20"/>
        <v>5486623</v>
      </c>
      <c r="E32" s="255">
        <f t="shared" si="20"/>
        <v>5448723</v>
      </c>
      <c r="F32" s="813">
        <f t="shared" si="20"/>
        <v>37900</v>
      </c>
      <c r="G32" s="1087">
        <f t="shared" si="20"/>
        <v>0</v>
      </c>
      <c r="H32" s="1292">
        <f t="shared" si="20"/>
        <v>0</v>
      </c>
      <c r="I32" s="399">
        <f>I33</f>
        <v>5486215</v>
      </c>
      <c r="J32" s="1293">
        <f t="shared" ref="J32:J36" si="21">I32/D32*100</f>
        <v>99.99256373182557</v>
      </c>
      <c r="K32" s="398">
        <f>+K33</f>
        <v>0</v>
      </c>
      <c r="L32" s="398">
        <v>0</v>
      </c>
      <c r="M32" s="400">
        <f>+K32-G32</f>
        <v>0</v>
      </c>
      <c r="N32" s="3281"/>
      <c r="O32" s="1244"/>
    </row>
    <row r="33" spans="1:24" ht="15" customHeight="1" thickBot="1" x14ac:dyDescent="0.25">
      <c r="A33" s="3226"/>
      <c r="B33" s="296" t="s">
        <v>14</v>
      </c>
      <c r="C33" s="3318"/>
      <c r="D33" s="893">
        <f>+E33+F33+G33+H33</f>
        <v>5486623</v>
      </c>
      <c r="E33" s="894">
        <f>2762944+2685779</f>
        <v>5448723</v>
      </c>
      <c r="F33" s="894">
        <v>37900</v>
      </c>
      <c r="G33" s="894">
        <v>0</v>
      </c>
      <c r="H33" s="1294">
        <v>0</v>
      </c>
      <c r="I33" s="893">
        <f>E33+F33+K33-408</f>
        <v>5486215</v>
      </c>
      <c r="J33" s="1295">
        <f t="shared" si="21"/>
        <v>99.99256373182557</v>
      </c>
      <c r="K33" s="1296">
        <v>0</v>
      </c>
      <c r="L33" s="1296">
        <v>0</v>
      </c>
      <c r="M33" s="1297">
        <f>+K33-G33</f>
        <v>0</v>
      </c>
      <c r="N33" s="3314"/>
      <c r="O33" s="1244"/>
    </row>
    <row r="34" spans="1:24" ht="15" customHeight="1" x14ac:dyDescent="0.2">
      <c r="A34" s="3220"/>
      <c r="B34" s="220" t="s">
        <v>16</v>
      </c>
      <c r="C34" s="25"/>
      <c r="D34" s="233">
        <f>+D35</f>
        <v>5486623</v>
      </c>
      <c r="E34" s="234">
        <f t="shared" ref="E34:K35" si="22">+E35</f>
        <v>5486623</v>
      </c>
      <c r="F34" s="234">
        <f t="shared" si="22"/>
        <v>0</v>
      </c>
      <c r="G34" s="287">
        <f t="shared" si="22"/>
        <v>0</v>
      </c>
      <c r="H34" s="785">
        <f t="shared" si="22"/>
        <v>0</v>
      </c>
      <c r="I34" s="233">
        <f t="shared" si="22"/>
        <v>5486623</v>
      </c>
      <c r="J34" s="1266">
        <f t="shared" si="21"/>
        <v>100</v>
      </c>
      <c r="K34" s="287">
        <f t="shared" si="22"/>
        <v>0</v>
      </c>
      <c r="L34" s="979">
        <v>0</v>
      </c>
      <c r="M34" s="824">
        <f>+K34-G34</f>
        <v>0</v>
      </c>
      <c r="N34" s="3317"/>
      <c r="O34" s="1244"/>
    </row>
    <row r="35" spans="1:24" ht="15" customHeight="1" x14ac:dyDescent="0.2">
      <c r="A35" s="3132"/>
      <c r="B35" s="253" t="s">
        <v>12</v>
      </c>
      <c r="C35" s="3308" t="s">
        <v>105</v>
      </c>
      <c r="D35" s="254">
        <f>+D36</f>
        <v>5486623</v>
      </c>
      <c r="E35" s="255">
        <f t="shared" si="22"/>
        <v>5486623</v>
      </c>
      <c r="F35" s="255">
        <f t="shared" si="22"/>
        <v>0</v>
      </c>
      <c r="G35" s="257">
        <f t="shared" si="22"/>
        <v>0</v>
      </c>
      <c r="H35" s="797">
        <f t="shared" si="22"/>
        <v>0</v>
      </c>
      <c r="I35" s="254">
        <f t="shared" si="22"/>
        <v>5486623</v>
      </c>
      <c r="J35" s="1298">
        <f t="shared" si="21"/>
        <v>100</v>
      </c>
      <c r="K35" s="257">
        <f t="shared" si="22"/>
        <v>0</v>
      </c>
      <c r="L35" s="944">
        <v>0</v>
      </c>
      <c r="M35" s="258">
        <f t="shared" si="19"/>
        <v>0</v>
      </c>
      <c r="N35" s="3188"/>
      <c r="O35" s="1244"/>
    </row>
    <row r="36" spans="1:24" ht="15" customHeight="1" thickBot="1" x14ac:dyDescent="0.25">
      <c r="A36" s="3133"/>
      <c r="B36" s="828" t="s">
        <v>14</v>
      </c>
      <c r="C36" s="3309"/>
      <c r="D36" s="262">
        <f>+E36+F36+G36+H36</f>
        <v>5486623</v>
      </c>
      <c r="E36" s="263">
        <f>2975000+2511623</f>
        <v>5486623</v>
      </c>
      <c r="F36" s="263">
        <v>0</v>
      </c>
      <c r="G36" s="818">
        <v>0</v>
      </c>
      <c r="H36" s="802">
        <v>0</v>
      </c>
      <c r="I36" s="262">
        <f>K36+E36+F36</f>
        <v>5486623</v>
      </c>
      <c r="J36" s="1299">
        <f t="shared" si="21"/>
        <v>100</v>
      </c>
      <c r="K36" s="818">
        <v>0</v>
      </c>
      <c r="L36" s="1290">
        <v>0</v>
      </c>
      <c r="M36" s="876">
        <f t="shared" si="19"/>
        <v>0</v>
      </c>
      <c r="N36" s="3189"/>
      <c r="O36" s="1244"/>
    </row>
    <row r="37" spans="1:24" ht="27" customHeight="1" x14ac:dyDescent="0.2">
      <c r="A37" s="3130" t="s">
        <v>35</v>
      </c>
      <c r="B37" s="1300" t="s">
        <v>221</v>
      </c>
      <c r="C37" s="1301" t="s">
        <v>171</v>
      </c>
      <c r="D37" s="237"/>
      <c r="E37" s="238"/>
      <c r="F37" s="238"/>
      <c r="G37" s="1302"/>
      <c r="H37" s="239"/>
      <c r="I37" s="237"/>
      <c r="J37" s="238"/>
      <c r="K37" s="238"/>
      <c r="L37" s="238"/>
      <c r="M37" s="1303"/>
      <c r="N37" s="3290" t="s">
        <v>103</v>
      </c>
      <c r="O37" s="1244"/>
      <c r="P37" s="1228"/>
    </row>
    <row r="38" spans="1:24" ht="12.75" customHeight="1" thickBot="1" x14ac:dyDescent="0.25">
      <c r="A38" s="3131"/>
      <c r="B38" s="394" t="s">
        <v>2</v>
      </c>
      <c r="C38" s="741"/>
      <c r="D38" s="807">
        <f>+D39+D41</f>
        <v>2241484</v>
      </c>
      <c r="E38" s="808">
        <f>E39+E41</f>
        <v>0</v>
      </c>
      <c r="F38" s="234">
        <f>F39+F41</f>
        <v>1125736</v>
      </c>
      <c r="G38" s="234">
        <f>G39+G41</f>
        <v>1115748</v>
      </c>
      <c r="H38" s="235">
        <f>H39+H41</f>
        <v>0</v>
      </c>
      <c r="I38" s="807">
        <f>+I41</f>
        <v>1421640</v>
      </c>
      <c r="J38" s="1266">
        <f>I38/D38*100</f>
        <v>63.424052993463263</v>
      </c>
      <c r="K38" s="234">
        <f>K41</f>
        <v>346757</v>
      </c>
      <c r="L38" s="1266">
        <f>K38/G38*100</f>
        <v>31.078433481395439</v>
      </c>
      <c r="M38" s="241">
        <f>+K38-G38</f>
        <v>-768991</v>
      </c>
      <c r="N38" s="3281"/>
      <c r="O38" s="1244"/>
      <c r="P38" s="1228"/>
    </row>
    <row r="39" spans="1:24" ht="13.5" hidden="1" customHeight="1" thickBot="1" x14ac:dyDescent="0.25">
      <c r="A39" s="3226"/>
      <c r="B39" s="366" t="s">
        <v>17</v>
      </c>
      <c r="C39" s="3325" t="s">
        <v>104</v>
      </c>
      <c r="D39" s="812">
        <f>+D40</f>
        <v>0</v>
      </c>
      <c r="E39" s="255">
        <f>E40</f>
        <v>0</v>
      </c>
      <c r="F39" s="255">
        <f>F40</f>
        <v>0</v>
      </c>
      <c r="G39" s="255">
        <f>G40</f>
        <v>0</v>
      </c>
      <c r="H39" s="286">
        <v>0</v>
      </c>
      <c r="I39" s="812">
        <f t="shared" ref="I39:I47" si="23">K39+E39+F39</f>
        <v>0</v>
      </c>
      <c r="J39" s="1298" t="e">
        <f>I39/#REF!*100</f>
        <v>#REF!</v>
      </c>
      <c r="K39" s="398">
        <f>+K40</f>
        <v>0</v>
      </c>
      <c r="L39" s="1298" t="e">
        <f>K39/#REF!*100</f>
        <v>#REF!</v>
      </c>
      <c r="M39" s="259">
        <f t="shared" ref="M39:M45" si="24">+K39-G39*0.25</f>
        <v>0</v>
      </c>
      <c r="N39" s="3281"/>
      <c r="O39" s="1244"/>
      <c r="P39" s="1228"/>
    </row>
    <row r="40" spans="1:24" ht="13.5" hidden="1" customHeight="1" thickBot="1" x14ac:dyDescent="0.25">
      <c r="A40" s="3176"/>
      <c r="B40" s="367" t="s">
        <v>7</v>
      </c>
      <c r="C40" s="3326"/>
      <c r="D40" s="244">
        <f>+E40+F40+G40+H40</f>
        <v>0</v>
      </c>
      <c r="E40" s="853"/>
      <c r="F40" s="853"/>
      <c r="G40" s="853">
        <v>0</v>
      </c>
      <c r="H40" s="1304">
        <v>0</v>
      </c>
      <c r="I40" s="246">
        <f t="shared" si="23"/>
        <v>0</v>
      </c>
      <c r="J40" s="1305" t="e">
        <f>I40/#REF!*100</f>
        <v>#REF!</v>
      </c>
      <c r="K40" s="250">
        <v>0</v>
      </c>
      <c r="L40" s="1305" t="e">
        <f>K40/#REF!*100</f>
        <v>#REF!</v>
      </c>
      <c r="M40" s="1191">
        <f t="shared" si="24"/>
        <v>0</v>
      </c>
      <c r="N40" s="3281"/>
      <c r="O40" s="1244"/>
      <c r="P40" s="1228"/>
    </row>
    <row r="41" spans="1:24" ht="14.25" customHeight="1" thickBot="1" x14ac:dyDescent="0.25">
      <c r="A41" s="3176"/>
      <c r="B41" s="368" t="s">
        <v>12</v>
      </c>
      <c r="C41" s="3326"/>
      <c r="D41" s="254">
        <f>+D42</f>
        <v>2241484</v>
      </c>
      <c r="E41" s="255">
        <f>E42</f>
        <v>0</v>
      </c>
      <c r="F41" s="255">
        <f>F42</f>
        <v>1125736</v>
      </c>
      <c r="G41" s="255">
        <f>G42</f>
        <v>1115748</v>
      </c>
      <c r="H41" s="286">
        <f>H42</f>
        <v>0</v>
      </c>
      <c r="I41" s="254">
        <f>+I42</f>
        <v>1421640</v>
      </c>
      <c r="J41" s="1298">
        <f>I41/D41*100</f>
        <v>63.424052993463263</v>
      </c>
      <c r="K41" s="1087">
        <f>K42</f>
        <v>346757</v>
      </c>
      <c r="L41" s="1298">
        <f>K41/G41*100</f>
        <v>31.078433481395439</v>
      </c>
      <c r="M41" s="259">
        <f>+K41-G41</f>
        <v>-768991</v>
      </c>
      <c r="N41" s="3281"/>
      <c r="O41" s="1244"/>
      <c r="P41" s="1228"/>
    </row>
    <row r="42" spans="1:24" ht="14.25" customHeight="1" x14ac:dyDescent="0.2">
      <c r="A42" s="3190"/>
      <c r="B42" s="367" t="s">
        <v>14</v>
      </c>
      <c r="C42" s="3326"/>
      <c r="D42" s="244">
        <f>+E42+F42+G42+H42</f>
        <v>2241484</v>
      </c>
      <c r="E42" s="779"/>
      <c r="F42" s="779">
        <v>1125736</v>
      </c>
      <c r="G42" s="779">
        <v>1115748</v>
      </c>
      <c r="H42" s="1214">
        <v>0</v>
      </c>
      <c r="I42" s="246">
        <f>K42+E42+F42-50853</f>
        <v>1421640</v>
      </c>
      <c r="J42" s="1305">
        <f>I42/D42*100</f>
        <v>63.424052993463263</v>
      </c>
      <c r="K42" s="779">
        <v>346757</v>
      </c>
      <c r="L42" s="1305">
        <f>K42/G42*100</f>
        <v>31.078433481395439</v>
      </c>
      <c r="M42" s="247">
        <f>+K42-G42</f>
        <v>-768991</v>
      </c>
      <c r="N42" s="3281"/>
      <c r="O42" s="1244"/>
      <c r="P42" s="1228"/>
    </row>
    <row r="43" spans="1:24" ht="14.25" customHeight="1" x14ac:dyDescent="0.2">
      <c r="A43" s="3226"/>
      <c r="B43" s="394" t="s">
        <v>16</v>
      </c>
      <c r="C43" s="741"/>
      <c r="D43" s="233">
        <f>+D44+D46</f>
        <v>2241484</v>
      </c>
      <c r="E43" s="234">
        <f>E44+E46</f>
        <v>0</v>
      </c>
      <c r="F43" s="234">
        <f>F44+F46</f>
        <v>1125736</v>
      </c>
      <c r="G43" s="234">
        <f>G44+G46</f>
        <v>1115748</v>
      </c>
      <c r="H43" s="235">
        <f>H44+H46</f>
        <v>0</v>
      </c>
      <c r="I43" s="233">
        <f t="shared" si="23"/>
        <v>1485736</v>
      </c>
      <c r="J43" s="1266">
        <f>I43/D43*100</f>
        <v>66.283587123530666</v>
      </c>
      <c r="K43" s="234">
        <f>K46</f>
        <v>360000</v>
      </c>
      <c r="L43" s="1266">
        <f>K43/G43*100</f>
        <v>32.265350240376861</v>
      </c>
      <c r="M43" s="241">
        <f>+K43-G43</f>
        <v>-755748</v>
      </c>
      <c r="N43" s="3281"/>
      <c r="O43" s="1244"/>
      <c r="P43" s="1228"/>
    </row>
    <row r="44" spans="1:24" ht="13.5" hidden="1" customHeight="1" x14ac:dyDescent="0.2">
      <c r="A44" s="3130"/>
      <c r="B44" s="366" t="s">
        <v>17</v>
      </c>
      <c r="C44" s="3325" t="s">
        <v>116</v>
      </c>
      <c r="D44" s="254">
        <f>+D45</f>
        <v>0</v>
      </c>
      <c r="E44" s="255">
        <f>E45</f>
        <v>0</v>
      </c>
      <c r="F44" s="255">
        <f>F45</f>
        <v>0</v>
      </c>
      <c r="G44" s="255">
        <f>G45</f>
        <v>0</v>
      </c>
      <c r="H44" s="286">
        <v>0</v>
      </c>
      <c r="I44" s="254">
        <f t="shared" si="23"/>
        <v>0</v>
      </c>
      <c r="J44" s="1298" t="e">
        <f>I44/#REF!*100</f>
        <v>#REF!</v>
      </c>
      <c r="K44" s="257">
        <f>+K45</f>
        <v>0</v>
      </c>
      <c r="L44" s="3328" t="s">
        <v>263</v>
      </c>
      <c r="M44" s="259">
        <f t="shared" si="24"/>
        <v>0</v>
      </c>
      <c r="N44" s="3281"/>
      <c r="O44" s="1244"/>
      <c r="P44" s="1228"/>
    </row>
    <row r="45" spans="1:24" ht="13.5" hidden="1" customHeight="1" x14ac:dyDescent="0.2">
      <c r="A45" s="3131"/>
      <c r="B45" s="367" t="s">
        <v>7</v>
      </c>
      <c r="C45" s="3326"/>
      <c r="D45" s="244">
        <f>+E45+F45+G45+H45</f>
        <v>0</v>
      </c>
      <c r="E45" s="853"/>
      <c r="F45" s="853"/>
      <c r="G45" s="853">
        <v>0</v>
      </c>
      <c r="H45" s="1304">
        <v>0</v>
      </c>
      <c r="I45" s="244">
        <f t="shared" si="23"/>
        <v>0</v>
      </c>
      <c r="J45" s="1305" t="e">
        <f>I45/#REF!*100</f>
        <v>#REF!</v>
      </c>
      <c r="K45" s="877">
        <v>0</v>
      </c>
      <c r="L45" s="3328"/>
      <c r="M45" s="1191">
        <f t="shared" si="24"/>
        <v>0</v>
      </c>
      <c r="N45" s="3281"/>
      <c r="O45" s="1244"/>
      <c r="P45" s="1228"/>
    </row>
    <row r="46" spans="1:24" ht="14.25" customHeight="1" x14ac:dyDescent="0.2">
      <c r="A46" s="3132"/>
      <c r="B46" s="368" t="s">
        <v>12</v>
      </c>
      <c r="C46" s="3326"/>
      <c r="D46" s="254">
        <f>+D47</f>
        <v>2241484</v>
      </c>
      <c r="E46" s="255">
        <f>E47</f>
        <v>0</v>
      </c>
      <c r="F46" s="255">
        <f>F47</f>
        <v>1125736</v>
      </c>
      <c r="G46" s="255">
        <f>G47</f>
        <v>1115748</v>
      </c>
      <c r="H46" s="286">
        <f>H47</f>
        <v>0</v>
      </c>
      <c r="I46" s="254">
        <f t="shared" si="23"/>
        <v>1485736</v>
      </c>
      <c r="J46" s="1298">
        <f>I46/D46*100</f>
        <v>66.283587123530666</v>
      </c>
      <c r="K46" s="1087">
        <f>K47</f>
        <v>360000</v>
      </c>
      <c r="L46" s="144">
        <v>10</v>
      </c>
      <c r="M46" s="259">
        <f>+K46-G46</f>
        <v>-755748</v>
      </c>
      <c r="N46" s="3188"/>
      <c r="O46" s="1244"/>
      <c r="P46" s="1228"/>
      <c r="Q46" s="1306"/>
    </row>
    <row r="47" spans="1:24" ht="13.5" customHeight="1" thickBot="1" x14ac:dyDescent="0.25">
      <c r="A47" s="3133"/>
      <c r="B47" s="1307" t="s">
        <v>14</v>
      </c>
      <c r="C47" s="3327"/>
      <c r="D47" s="262">
        <f>+E47+F47+G47+H47</f>
        <v>2241484</v>
      </c>
      <c r="E47" s="263"/>
      <c r="F47" s="263">
        <v>1125736</v>
      </c>
      <c r="G47" s="263">
        <v>1115748</v>
      </c>
      <c r="H47" s="1210">
        <v>0</v>
      </c>
      <c r="I47" s="264">
        <f t="shared" si="23"/>
        <v>1485736</v>
      </c>
      <c r="J47" s="1299">
        <f>I47/D47*100</f>
        <v>66.283587123530666</v>
      </c>
      <c r="K47" s="263">
        <v>360000</v>
      </c>
      <c r="L47" s="270">
        <f>K47/G47*100</f>
        <v>32.265350240376861</v>
      </c>
      <c r="M47" s="265">
        <f>+K47-G47</f>
        <v>-755748</v>
      </c>
      <c r="N47" s="3189"/>
      <c r="O47" s="1244"/>
      <c r="P47" s="1228"/>
      <c r="Q47" s="218"/>
      <c r="R47" s="218"/>
      <c r="S47" s="218"/>
      <c r="T47" s="218"/>
      <c r="U47" s="218"/>
      <c r="V47" s="218"/>
      <c r="W47" s="218"/>
      <c r="X47" s="218"/>
    </row>
    <row r="48" spans="1:24" ht="27.75" customHeight="1" x14ac:dyDescent="0.2">
      <c r="A48" s="3287" t="s">
        <v>40</v>
      </c>
      <c r="B48" s="1308" t="s">
        <v>287</v>
      </c>
      <c r="C48" s="236" t="s">
        <v>171</v>
      </c>
      <c r="D48" s="237"/>
      <c r="E48" s="238"/>
      <c r="F48" s="238"/>
      <c r="G48" s="240"/>
      <c r="H48" s="240"/>
      <c r="I48" s="237"/>
      <c r="J48" s="238"/>
      <c r="K48" s="238"/>
      <c r="L48" s="1291"/>
      <c r="M48" s="240"/>
      <c r="N48" s="3290" t="s">
        <v>106</v>
      </c>
      <c r="O48" s="1244"/>
    </row>
    <row r="49" spans="1:16" s="1016" customFormat="1" ht="14.25" customHeight="1" x14ac:dyDescent="0.2">
      <c r="A49" s="3064"/>
      <c r="B49" s="1309" t="s">
        <v>2</v>
      </c>
      <c r="C49" s="837"/>
      <c r="D49" s="811">
        <f t="shared" ref="D49:I49" si="25">+D50+D53</f>
        <v>5000000</v>
      </c>
      <c r="E49" s="811">
        <f t="shared" si="25"/>
        <v>43489</v>
      </c>
      <c r="F49" s="811">
        <f t="shared" si="25"/>
        <v>1918511</v>
      </c>
      <c r="G49" s="811">
        <f t="shared" si="25"/>
        <v>2160400</v>
      </c>
      <c r="H49" s="811">
        <f t="shared" si="25"/>
        <v>877600</v>
      </c>
      <c r="I49" s="807">
        <f t="shared" si="25"/>
        <v>2479180</v>
      </c>
      <c r="J49" s="1266">
        <f t="shared" ref="J49:J71" si="26">I49/D49*100</f>
        <v>49.583599999999997</v>
      </c>
      <c r="K49" s="808">
        <f>+K50+K53</f>
        <v>607540</v>
      </c>
      <c r="L49" s="1310">
        <f>+K49/G49*100</f>
        <v>28.121644139974077</v>
      </c>
      <c r="M49" s="811">
        <f>+K49-G49</f>
        <v>-1552860</v>
      </c>
      <c r="N49" s="3281"/>
      <c r="O49" s="1311"/>
      <c r="P49" s="1312"/>
    </row>
    <row r="50" spans="1:16" s="1317" customFormat="1" ht="14.25" customHeight="1" x14ac:dyDescent="0.2">
      <c r="A50" s="3064"/>
      <c r="B50" s="1313" t="s">
        <v>17</v>
      </c>
      <c r="C50" s="3282" t="s">
        <v>108</v>
      </c>
      <c r="D50" s="254">
        <f t="shared" ref="D50:H50" si="27">+D51+D52</f>
        <v>750000</v>
      </c>
      <c r="E50" s="1087">
        <f t="shared" si="27"/>
        <v>6523</v>
      </c>
      <c r="F50" s="813">
        <f t="shared" si="27"/>
        <v>287777</v>
      </c>
      <c r="G50" s="814">
        <f t="shared" si="27"/>
        <v>324060</v>
      </c>
      <c r="H50" s="814">
        <f t="shared" si="27"/>
        <v>131640</v>
      </c>
      <c r="I50" s="254">
        <f>+I52</f>
        <v>371877</v>
      </c>
      <c r="J50" s="1298">
        <f t="shared" si="26"/>
        <v>49.583599999999997</v>
      </c>
      <c r="K50" s="813">
        <f>+K51+K52</f>
        <v>91131</v>
      </c>
      <c r="L50" s="1314">
        <f>+K50/G50*100</f>
        <v>28.121644139974077</v>
      </c>
      <c r="M50" s="814">
        <f>+K50-G50</f>
        <v>-232929</v>
      </c>
      <c r="N50" s="3281"/>
      <c r="O50" s="1315"/>
      <c r="P50" s="1316"/>
    </row>
    <row r="51" spans="1:16" ht="13.5" hidden="1" customHeight="1" thickBot="1" x14ac:dyDescent="0.25">
      <c r="A51" s="3064"/>
      <c r="B51" s="793" t="s">
        <v>4</v>
      </c>
      <c r="C51" s="3292"/>
      <c r="D51" s="784">
        <v>0</v>
      </c>
      <c r="E51" s="779">
        <v>0</v>
      </c>
      <c r="F51" s="245"/>
      <c r="G51" s="251">
        <v>0</v>
      </c>
      <c r="H51" s="251">
        <v>0</v>
      </c>
      <c r="I51" s="784">
        <v>0</v>
      </c>
      <c r="J51" s="1305" t="e">
        <f>I51/#REF!*100</f>
        <v>#REF!</v>
      </c>
      <c r="K51" s="260">
        <v>0</v>
      </c>
      <c r="L51" s="1318" t="e">
        <f>K51/#REF!*100</f>
        <v>#REF!</v>
      </c>
      <c r="M51" s="782">
        <f t="shared" si="19"/>
        <v>0</v>
      </c>
      <c r="N51" s="3291"/>
      <c r="O51" s="1244"/>
    </row>
    <row r="52" spans="1:16" ht="14.25" customHeight="1" x14ac:dyDescent="0.2">
      <c r="A52" s="3064"/>
      <c r="B52" s="793" t="s">
        <v>7</v>
      </c>
      <c r="C52" s="3293"/>
      <c r="D52" s="244">
        <f>+E52+F52+G52+H52</f>
        <v>750000</v>
      </c>
      <c r="E52" s="779">
        <v>6523</v>
      </c>
      <c r="F52" s="281">
        <v>287777</v>
      </c>
      <c r="G52" s="281">
        <v>324060</v>
      </c>
      <c r="H52" s="281">
        <v>131640</v>
      </c>
      <c r="I52" s="244">
        <f>+E52+F52+K52-13554</f>
        <v>371877</v>
      </c>
      <c r="J52" s="1305">
        <f t="shared" si="26"/>
        <v>49.583599999999997</v>
      </c>
      <c r="K52" s="245">
        <v>91131</v>
      </c>
      <c r="L52" s="1318">
        <f t="shared" ref="L52:L59" si="28">+K52/G52*100</f>
        <v>28.121644139974077</v>
      </c>
      <c r="M52" s="281">
        <f t="shared" ref="M52:M59" si="29">+K52-G52</f>
        <v>-232929</v>
      </c>
      <c r="N52" s="3280"/>
      <c r="O52" s="1244"/>
    </row>
    <row r="53" spans="1:16" s="1317" customFormat="1" ht="14.25" customHeight="1" x14ac:dyDescent="0.2">
      <c r="A53" s="3064"/>
      <c r="B53" s="1319" t="s">
        <v>12</v>
      </c>
      <c r="C53" s="3293"/>
      <c r="D53" s="1320">
        <f t="shared" ref="D53:I53" si="30">+D54</f>
        <v>4250000</v>
      </c>
      <c r="E53" s="925">
        <f t="shared" si="30"/>
        <v>36966</v>
      </c>
      <c r="F53" s="887">
        <f t="shared" si="30"/>
        <v>1630734</v>
      </c>
      <c r="G53" s="1321">
        <f t="shared" si="30"/>
        <v>1836340</v>
      </c>
      <c r="H53" s="1321">
        <f t="shared" si="30"/>
        <v>745960</v>
      </c>
      <c r="I53" s="1320">
        <f t="shared" si="30"/>
        <v>2107303</v>
      </c>
      <c r="J53" s="1298">
        <f t="shared" si="26"/>
        <v>49.583599999999997</v>
      </c>
      <c r="K53" s="887">
        <f>+K54</f>
        <v>516409</v>
      </c>
      <c r="L53" s="1314">
        <f t="shared" si="28"/>
        <v>28.121644139974077</v>
      </c>
      <c r="M53" s="1321">
        <f t="shared" si="29"/>
        <v>-1319931</v>
      </c>
      <c r="N53" s="3281"/>
      <c r="O53" s="1315"/>
    </row>
    <row r="54" spans="1:16" ht="14.25" customHeight="1" x14ac:dyDescent="0.2">
      <c r="A54" s="3064"/>
      <c r="B54" s="793" t="s">
        <v>14</v>
      </c>
      <c r="C54" s="3293"/>
      <c r="D54" s="821">
        <f>+E54+F54+G54+H54</f>
        <v>4250000</v>
      </c>
      <c r="E54" s="1217">
        <v>36966</v>
      </c>
      <c r="F54" s="1322">
        <v>1630734</v>
      </c>
      <c r="G54" s="1322">
        <v>1836340</v>
      </c>
      <c r="H54" s="1322">
        <v>745960</v>
      </c>
      <c r="I54" s="821">
        <f>+E54+F54+K54-76806</f>
        <v>2107303</v>
      </c>
      <c r="J54" s="1305">
        <f t="shared" si="26"/>
        <v>49.583599999999997</v>
      </c>
      <c r="K54" s="822">
        <v>516409</v>
      </c>
      <c r="L54" s="1318">
        <f t="shared" si="28"/>
        <v>28.121644139974077</v>
      </c>
      <c r="M54" s="1322">
        <f t="shared" si="29"/>
        <v>-1319931</v>
      </c>
      <c r="N54" s="3281"/>
      <c r="O54" s="1244"/>
    </row>
    <row r="55" spans="1:16" ht="14.25" customHeight="1" x14ac:dyDescent="0.2">
      <c r="A55" s="3288"/>
      <c r="B55" s="1309" t="s">
        <v>16</v>
      </c>
      <c r="C55" s="837"/>
      <c r="D55" s="1323">
        <f t="shared" ref="D55:I55" si="31">+D56+D58</f>
        <v>5000000</v>
      </c>
      <c r="E55" s="1323">
        <f t="shared" si="31"/>
        <v>406023</v>
      </c>
      <c r="F55" s="1323">
        <f t="shared" si="31"/>
        <v>1555977</v>
      </c>
      <c r="G55" s="1323">
        <f t="shared" si="31"/>
        <v>2160400</v>
      </c>
      <c r="H55" s="1323">
        <f t="shared" si="31"/>
        <v>877600</v>
      </c>
      <c r="I55" s="233">
        <f t="shared" si="31"/>
        <v>2741001</v>
      </c>
      <c r="J55" s="1266">
        <f t="shared" si="26"/>
        <v>54.82002</v>
      </c>
      <c r="K55" s="1204">
        <f>+K56+K58</f>
        <v>792555</v>
      </c>
      <c r="L55" s="1310">
        <f t="shared" si="28"/>
        <v>36.685567487502311</v>
      </c>
      <c r="M55" s="241">
        <f t="shared" si="29"/>
        <v>-1367845</v>
      </c>
      <c r="N55" s="3188"/>
      <c r="O55" s="1244"/>
    </row>
    <row r="56" spans="1:16" s="1317" customFormat="1" ht="14.25" customHeight="1" x14ac:dyDescent="0.2">
      <c r="A56" s="3288"/>
      <c r="B56" s="1313" t="s">
        <v>17</v>
      </c>
      <c r="C56" s="3294" t="s">
        <v>109</v>
      </c>
      <c r="D56" s="1320">
        <f t="shared" ref="D56:I56" si="32">+D57</f>
        <v>750000</v>
      </c>
      <c r="E56" s="925">
        <f t="shared" si="32"/>
        <v>6523</v>
      </c>
      <c r="F56" s="887">
        <f t="shared" si="32"/>
        <v>287777</v>
      </c>
      <c r="G56" s="1321">
        <f t="shared" si="32"/>
        <v>324060</v>
      </c>
      <c r="H56" s="1321">
        <f t="shared" si="32"/>
        <v>131640</v>
      </c>
      <c r="I56" s="1320">
        <f t="shared" si="32"/>
        <v>462151</v>
      </c>
      <c r="J56" s="1298">
        <f t="shared" si="26"/>
        <v>61.620133333333335</v>
      </c>
      <c r="K56" s="887">
        <f>+K57</f>
        <v>181405</v>
      </c>
      <c r="L56" s="1314">
        <f t="shared" si="28"/>
        <v>55.978831080664072</v>
      </c>
      <c r="M56" s="1321">
        <f t="shared" si="29"/>
        <v>-142655</v>
      </c>
      <c r="N56" s="3188"/>
      <c r="O56" s="1315"/>
    </row>
    <row r="57" spans="1:16" ht="14.25" customHeight="1" x14ac:dyDescent="0.2">
      <c r="A57" s="3288"/>
      <c r="B57" s="793" t="s">
        <v>7</v>
      </c>
      <c r="C57" s="3293"/>
      <c r="D57" s="821">
        <f>+E57+F57+G57+H57</f>
        <v>750000</v>
      </c>
      <c r="E57" s="1217">
        <v>6523</v>
      </c>
      <c r="F57" s="1322">
        <v>287777</v>
      </c>
      <c r="G57" s="1322">
        <v>324060</v>
      </c>
      <c r="H57" s="1322">
        <v>131640</v>
      </c>
      <c r="I57" s="821">
        <f>+K57+F57+E57-13554</f>
        <v>462151</v>
      </c>
      <c r="J57" s="1305">
        <f t="shared" si="26"/>
        <v>61.620133333333335</v>
      </c>
      <c r="K57" s="822">
        <v>181405</v>
      </c>
      <c r="L57" s="1318">
        <f t="shared" si="28"/>
        <v>55.978831080664072</v>
      </c>
      <c r="M57" s="1322">
        <f t="shared" si="29"/>
        <v>-142655</v>
      </c>
      <c r="N57" s="3188"/>
      <c r="O57" s="1244"/>
    </row>
    <row r="58" spans="1:16" s="1317" customFormat="1" ht="14.25" customHeight="1" x14ac:dyDescent="0.2">
      <c r="A58" s="3288"/>
      <c r="B58" s="1319" t="s">
        <v>12</v>
      </c>
      <c r="C58" s="3295"/>
      <c r="D58" s="1320">
        <f t="shared" ref="D58:I58" si="33">+D59</f>
        <v>4250000</v>
      </c>
      <c r="E58" s="925">
        <f t="shared" si="33"/>
        <v>399500</v>
      </c>
      <c r="F58" s="887">
        <f t="shared" si="33"/>
        <v>1268200</v>
      </c>
      <c r="G58" s="1321">
        <f t="shared" si="33"/>
        <v>1836340</v>
      </c>
      <c r="H58" s="1321">
        <f t="shared" si="33"/>
        <v>745960</v>
      </c>
      <c r="I58" s="1320">
        <f t="shared" si="33"/>
        <v>2278850</v>
      </c>
      <c r="J58" s="1298">
        <f t="shared" si="26"/>
        <v>53.620000000000005</v>
      </c>
      <c r="K58" s="887">
        <f>+K59</f>
        <v>611150</v>
      </c>
      <c r="L58" s="1314">
        <f t="shared" si="28"/>
        <v>33.280873912238476</v>
      </c>
      <c r="M58" s="1321">
        <f t="shared" si="29"/>
        <v>-1225190</v>
      </c>
      <c r="N58" s="3188"/>
      <c r="O58" s="1315"/>
    </row>
    <row r="59" spans="1:16" ht="14.25" customHeight="1" thickBot="1" x14ac:dyDescent="0.25">
      <c r="A59" s="3289"/>
      <c r="B59" s="798" t="s">
        <v>14</v>
      </c>
      <c r="C59" s="3296"/>
      <c r="D59" s="406">
        <f>+E59+F59+G59+H59</f>
        <v>4250000</v>
      </c>
      <c r="E59" s="1220">
        <v>399500</v>
      </c>
      <c r="F59" s="1324">
        <v>1268200</v>
      </c>
      <c r="G59" s="1324">
        <v>1836340</v>
      </c>
      <c r="H59" s="1324">
        <v>745960</v>
      </c>
      <c r="I59" s="406">
        <f>+K59+F59+E59</f>
        <v>2278850</v>
      </c>
      <c r="J59" s="1299">
        <f t="shared" si="26"/>
        <v>53.620000000000005</v>
      </c>
      <c r="K59" s="1325">
        <v>611150</v>
      </c>
      <c r="L59" s="1326">
        <f t="shared" si="28"/>
        <v>33.280873912238476</v>
      </c>
      <c r="M59" s="1324">
        <f t="shared" si="29"/>
        <v>-1225190</v>
      </c>
      <c r="N59" s="3189"/>
      <c r="O59" s="1244"/>
    </row>
    <row r="60" spans="1:16" ht="26.25" customHeight="1" x14ac:dyDescent="0.2">
      <c r="A60" s="3276" t="s">
        <v>41</v>
      </c>
      <c r="B60" s="1327" t="s">
        <v>288</v>
      </c>
      <c r="C60" s="857" t="s">
        <v>171</v>
      </c>
      <c r="D60" s="858"/>
      <c r="E60" s="859"/>
      <c r="F60" s="859"/>
      <c r="G60" s="859"/>
      <c r="H60" s="861"/>
      <c r="I60" s="858"/>
      <c r="J60" s="859"/>
      <c r="K60" s="859"/>
      <c r="L60" s="861"/>
      <c r="M60" s="861"/>
      <c r="N60" s="3280" t="s">
        <v>346</v>
      </c>
      <c r="O60" s="1244"/>
    </row>
    <row r="61" spans="1:16" ht="15.75" customHeight="1" thickBot="1" x14ac:dyDescent="0.25">
      <c r="A61" s="3064"/>
      <c r="B61" s="1328" t="s">
        <v>2</v>
      </c>
      <c r="C61" s="25"/>
      <c r="D61" s="807">
        <f t="shared" ref="D61:I61" si="34">+D62+D65</f>
        <v>1623156</v>
      </c>
      <c r="E61" s="808">
        <f t="shared" si="34"/>
        <v>1133716</v>
      </c>
      <c r="F61" s="808">
        <f t="shared" si="34"/>
        <v>489440</v>
      </c>
      <c r="G61" s="808">
        <f>+G62+G65</f>
        <v>0</v>
      </c>
      <c r="H61" s="241">
        <f t="shared" ref="H61" si="35">+H62+H64</f>
        <v>0</v>
      </c>
      <c r="I61" s="807">
        <f t="shared" si="34"/>
        <v>1546199</v>
      </c>
      <c r="J61" s="1329">
        <f t="shared" si="26"/>
        <v>95.258804452560327</v>
      </c>
      <c r="K61" s="808">
        <f>+K62+K65</f>
        <v>0</v>
      </c>
      <c r="L61" s="1330" t="s">
        <v>335</v>
      </c>
      <c r="M61" s="241">
        <f>+K61-G61</f>
        <v>0</v>
      </c>
      <c r="N61" s="3281"/>
      <c r="O61" s="1244"/>
    </row>
    <row r="62" spans="1:16" ht="15.75" customHeight="1" x14ac:dyDescent="0.2">
      <c r="A62" s="3123"/>
      <c r="B62" s="1313" t="s">
        <v>17</v>
      </c>
      <c r="C62" s="3282" t="s">
        <v>110</v>
      </c>
      <c r="D62" s="812">
        <f>+D63+D64</f>
        <v>243473</v>
      </c>
      <c r="E62" s="813">
        <f>+E63+E64</f>
        <v>170057</v>
      </c>
      <c r="F62" s="813">
        <f>+F63+F64</f>
        <v>73416</v>
      </c>
      <c r="G62" s="813">
        <f>+G63+G64</f>
        <v>0</v>
      </c>
      <c r="H62" s="814">
        <f>++H63+H64</f>
        <v>0</v>
      </c>
      <c r="I62" s="812">
        <f>+I64</f>
        <v>231929</v>
      </c>
      <c r="J62" s="1298">
        <f t="shared" si="26"/>
        <v>95.258611837862929</v>
      </c>
      <c r="K62" s="813">
        <f>+K63+K64</f>
        <v>0</v>
      </c>
      <c r="L62" s="1331" t="s">
        <v>335</v>
      </c>
      <c r="M62" s="814">
        <f>+K62-G62</f>
        <v>0</v>
      </c>
      <c r="N62" s="3281"/>
      <c r="O62" s="1244"/>
      <c r="P62" s="218"/>
    </row>
    <row r="63" spans="1:16" ht="14.25" hidden="1" customHeight="1" x14ac:dyDescent="0.2">
      <c r="A63" s="3212"/>
      <c r="B63" s="793" t="s">
        <v>4</v>
      </c>
      <c r="C63" s="3283"/>
      <c r="D63" s="244">
        <f>+E63+F63+G63+H63</f>
        <v>0</v>
      </c>
      <c r="E63" s="779">
        <v>0</v>
      </c>
      <c r="F63" s="245"/>
      <c r="G63" s="245">
        <v>0</v>
      </c>
      <c r="H63" s="281">
        <v>0</v>
      </c>
      <c r="I63" s="246">
        <v>0</v>
      </c>
      <c r="J63" s="1305" t="e">
        <f>I63/#REF!*100</f>
        <v>#REF!</v>
      </c>
      <c r="K63" s="779">
        <v>0</v>
      </c>
      <c r="L63" s="1331" t="s">
        <v>335</v>
      </c>
      <c r="M63" s="281">
        <f t="shared" si="19"/>
        <v>0</v>
      </c>
      <c r="N63" s="3281"/>
      <c r="O63" s="1244"/>
    </row>
    <row r="64" spans="1:16" ht="14.25" customHeight="1" x14ac:dyDescent="0.2">
      <c r="A64" s="3124"/>
      <c r="B64" s="793" t="s">
        <v>7</v>
      </c>
      <c r="C64" s="3283"/>
      <c r="D64" s="244">
        <f>+E64+F64+G64+H64</f>
        <v>243473</v>
      </c>
      <c r="E64" s="779">
        <f>1297+43240+55738+69782</f>
        <v>170057</v>
      </c>
      <c r="F64" s="779">
        <v>73416</v>
      </c>
      <c r="G64" s="779">
        <v>0</v>
      </c>
      <c r="H64" s="247">
        <v>0</v>
      </c>
      <c r="I64" s="246">
        <f>+K64+F64+E64-11544</f>
        <v>231929</v>
      </c>
      <c r="J64" s="1332">
        <f t="shared" si="26"/>
        <v>95.258611837862929</v>
      </c>
      <c r="K64" s="779">
        <v>0</v>
      </c>
      <c r="L64" s="1331" t="s">
        <v>335</v>
      </c>
      <c r="M64" s="1333">
        <f t="shared" ref="M64:M71" si="36">+K64-G64</f>
        <v>0</v>
      </c>
      <c r="N64" s="3281"/>
      <c r="O64" s="1244"/>
      <c r="P64" s="218"/>
    </row>
    <row r="65" spans="1:16" ht="14.25" customHeight="1" thickBot="1" x14ac:dyDescent="0.25">
      <c r="A65" s="3277"/>
      <c r="B65" s="1319" t="s">
        <v>12</v>
      </c>
      <c r="C65" s="3283"/>
      <c r="D65" s="254">
        <f t="shared" ref="D65:I65" si="37">+D66</f>
        <v>1379683</v>
      </c>
      <c r="E65" s="255">
        <f t="shared" si="37"/>
        <v>963659</v>
      </c>
      <c r="F65" s="255">
        <f t="shared" si="37"/>
        <v>416024</v>
      </c>
      <c r="G65" s="255">
        <f t="shared" si="37"/>
        <v>0</v>
      </c>
      <c r="H65" s="259">
        <f t="shared" si="37"/>
        <v>0</v>
      </c>
      <c r="I65" s="254">
        <f t="shared" si="37"/>
        <v>1314270</v>
      </c>
      <c r="J65" s="1298">
        <f t="shared" si="26"/>
        <v>95.258838443323583</v>
      </c>
      <c r="K65" s="255">
        <f>+K66</f>
        <v>0</v>
      </c>
      <c r="L65" s="1331" t="s">
        <v>335</v>
      </c>
      <c r="M65" s="259">
        <f t="shared" si="36"/>
        <v>0</v>
      </c>
      <c r="N65" s="3281"/>
      <c r="O65" s="1244"/>
    </row>
    <row r="66" spans="1:16" ht="14.25" customHeight="1" collapsed="1" x14ac:dyDescent="0.2">
      <c r="A66" s="3123"/>
      <c r="B66" s="793" t="s">
        <v>14</v>
      </c>
      <c r="C66" s="3283"/>
      <c r="D66" s="244">
        <f>+E66+F66+G66+H66</f>
        <v>1379683</v>
      </c>
      <c r="E66" s="779">
        <f>7350+245028+315850+395431</f>
        <v>963659</v>
      </c>
      <c r="F66" s="779">
        <v>416024</v>
      </c>
      <c r="G66" s="245">
        <v>0</v>
      </c>
      <c r="H66" s="281">
        <v>0</v>
      </c>
      <c r="I66" s="274">
        <f>+K66+F66+E66-65413</f>
        <v>1314270</v>
      </c>
      <c r="J66" s="1305">
        <f t="shared" si="26"/>
        <v>95.258838443323583</v>
      </c>
      <c r="K66" s="245">
        <v>0</v>
      </c>
      <c r="L66" s="1331" t="s">
        <v>335</v>
      </c>
      <c r="M66" s="281">
        <f t="shared" si="36"/>
        <v>0</v>
      </c>
      <c r="N66" s="3281"/>
      <c r="O66" s="1244"/>
    </row>
    <row r="67" spans="1:16" ht="14.25" customHeight="1" thickBot="1" x14ac:dyDescent="0.25">
      <c r="A67" s="3278"/>
      <c r="B67" s="1328" t="s">
        <v>16</v>
      </c>
      <c r="C67" s="25"/>
      <c r="D67" s="233">
        <f t="shared" ref="D67:I67" si="38">+D68+D70</f>
        <v>1623156</v>
      </c>
      <c r="E67" s="234">
        <f t="shared" si="38"/>
        <v>1133716</v>
      </c>
      <c r="F67" s="234">
        <f t="shared" si="38"/>
        <v>489440</v>
      </c>
      <c r="G67" s="234">
        <f t="shared" si="38"/>
        <v>0</v>
      </c>
      <c r="H67" s="241">
        <f t="shared" si="38"/>
        <v>0</v>
      </c>
      <c r="I67" s="233">
        <f t="shared" si="38"/>
        <v>1546199</v>
      </c>
      <c r="J67" s="1266">
        <f t="shared" si="26"/>
        <v>95.258804452560327</v>
      </c>
      <c r="K67" s="234">
        <f>+K68+K70</f>
        <v>0</v>
      </c>
      <c r="L67" s="1330" t="s">
        <v>335</v>
      </c>
      <c r="M67" s="241">
        <f t="shared" si="36"/>
        <v>0</v>
      </c>
      <c r="N67" s="3188"/>
      <c r="O67" s="1244"/>
    </row>
    <row r="68" spans="1:16" ht="14.25" customHeight="1" thickBot="1" x14ac:dyDescent="0.25">
      <c r="A68" s="3279"/>
      <c r="B68" s="1313" t="s">
        <v>17</v>
      </c>
      <c r="C68" s="3284" t="s">
        <v>111</v>
      </c>
      <c r="D68" s="254">
        <f t="shared" ref="D68:I68" si="39">+D69</f>
        <v>243473</v>
      </c>
      <c r="E68" s="255">
        <f t="shared" si="39"/>
        <v>170057</v>
      </c>
      <c r="F68" s="255">
        <f t="shared" si="39"/>
        <v>73416</v>
      </c>
      <c r="G68" s="255">
        <f t="shared" si="39"/>
        <v>0</v>
      </c>
      <c r="H68" s="259">
        <f t="shared" si="39"/>
        <v>0</v>
      </c>
      <c r="I68" s="254">
        <f t="shared" si="39"/>
        <v>231929</v>
      </c>
      <c r="J68" s="1298">
        <f t="shared" si="26"/>
        <v>95.258611837862929</v>
      </c>
      <c r="K68" s="255">
        <f>+K69</f>
        <v>0</v>
      </c>
      <c r="L68" s="1331" t="s">
        <v>335</v>
      </c>
      <c r="M68" s="259">
        <f t="shared" si="36"/>
        <v>0</v>
      </c>
      <c r="N68" s="3188"/>
      <c r="O68" s="1244"/>
    </row>
    <row r="69" spans="1:16" ht="14.25" customHeight="1" x14ac:dyDescent="0.2">
      <c r="A69" s="3125"/>
      <c r="B69" s="793" t="s">
        <v>7</v>
      </c>
      <c r="C69" s="3283"/>
      <c r="D69" s="244">
        <f>+E69+F69+G69+H69</f>
        <v>243473</v>
      </c>
      <c r="E69" s="779">
        <f>1297+43240+55738+69782</f>
        <v>170057</v>
      </c>
      <c r="F69" s="779">
        <v>73416</v>
      </c>
      <c r="G69" s="779">
        <v>0</v>
      </c>
      <c r="H69" s="247">
        <v>0</v>
      </c>
      <c r="I69" s="244">
        <f>+K69+F69+E69-11544</f>
        <v>231929</v>
      </c>
      <c r="J69" s="1305">
        <f t="shared" si="26"/>
        <v>95.258611837862929</v>
      </c>
      <c r="K69" s="853">
        <v>0</v>
      </c>
      <c r="L69" s="1331" t="s">
        <v>335</v>
      </c>
      <c r="M69" s="247">
        <f t="shared" si="36"/>
        <v>0</v>
      </c>
      <c r="N69" s="3188"/>
      <c r="O69" s="1244"/>
    </row>
    <row r="70" spans="1:16" ht="14.25" customHeight="1" x14ac:dyDescent="0.2">
      <c r="A70" s="3125"/>
      <c r="B70" s="1319" t="s">
        <v>12</v>
      </c>
      <c r="C70" s="3285"/>
      <c r="D70" s="254">
        <f t="shared" ref="D70:I70" si="40">+D71</f>
        <v>1379683</v>
      </c>
      <c r="E70" s="255">
        <f t="shared" si="40"/>
        <v>963659</v>
      </c>
      <c r="F70" s="255">
        <f t="shared" si="40"/>
        <v>416024</v>
      </c>
      <c r="G70" s="255">
        <f t="shared" si="40"/>
        <v>0</v>
      </c>
      <c r="H70" s="259">
        <f t="shared" si="40"/>
        <v>0</v>
      </c>
      <c r="I70" s="254">
        <f t="shared" si="40"/>
        <v>1314270</v>
      </c>
      <c r="J70" s="1298">
        <f t="shared" si="26"/>
        <v>95.258838443323583</v>
      </c>
      <c r="K70" s="255">
        <f>+K71</f>
        <v>0</v>
      </c>
      <c r="L70" s="1331" t="s">
        <v>335</v>
      </c>
      <c r="M70" s="259">
        <f t="shared" si="36"/>
        <v>0</v>
      </c>
      <c r="N70" s="3188"/>
      <c r="O70" s="1244"/>
    </row>
    <row r="71" spans="1:16" ht="14.25" customHeight="1" thickBot="1" x14ac:dyDescent="0.25">
      <c r="A71" s="3126"/>
      <c r="B71" s="798" t="s">
        <v>14</v>
      </c>
      <c r="C71" s="3286"/>
      <c r="D71" s="262">
        <f>+E71+F71+G71+H71</f>
        <v>1379683</v>
      </c>
      <c r="E71" s="263">
        <f>7350+245028+315850+395431</f>
        <v>963659</v>
      </c>
      <c r="F71" s="263">
        <v>416024</v>
      </c>
      <c r="G71" s="799">
        <v>0</v>
      </c>
      <c r="H71" s="1334">
        <v>0</v>
      </c>
      <c r="I71" s="264">
        <f>+K71+F71+E71-65413</f>
        <v>1314270</v>
      </c>
      <c r="J71" s="1299">
        <f t="shared" si="26"/>
        <v>95.258838443323583</v>
      </c>
      <c r="K71" s="263">
        <v>0</v>
      </c>
      <c r="L71" s="1335" t="s">
        <v>335</v>
      </c>
      <c r="M71" s="1334">
        <f t="shared" si="36"/>
        <v>0</v>
      </c>
      <c r="N71" s="3189"/>
      <c r="O71" s="1244"/>
      <c r="P71" s="218"/>
    </row>
    <row r="72" spans="1:16" ht="29.25" customHeight="1" x14ac:dyDescent="0.2">
      <c r="A72" s="3130" t="s">
        <v>43</v>
      </c>
      <c r="B72" s="831" t="s">
        <v>114</v>
      </c>
      <c r="C72" s="236" t="s">
        <v>171</v>
      </c>
      <c r="D72" s="237"/>
      <c r="E72" s="238"/>
      <c r="F72" s="238"/>
      <c r="G72" s="238"/>
      <c r="H72" s="240"/>
      <c r="I72" s="237"/>
      <c r="J72" s="238"/>
      <c r="K72" s="238"/>
      <c r="L72" s="240"/>
      <c r="M72" s="240"/>
      <c r="N72" s="3290" t="s">
        <v>103</v>
      </c>
      <c r="O72" s="1244"/>
    </row>
    <row r="73" spans="1:16" ht="13.5" customHeight="1" x14ac:dyDescent="0.2">
      <c r="A73" s="3131"/>
      <c r="B73" s="846" t="s">
        <v>2</v>
      </c>
      <c r="C73" s="25"/>
      <c r="D73" s="807">
        <f t="shared" ref="D73:I73" si="41">+D74+D77</f>
        <v>10877760</v>
      </c>
      <c r="E73" s="808">
        <f t="shared" si="41"/>
        <v>8593742</v>
      </c>
      <c r="F73" s="808">
        <f>+F74+F77</f>
        <v>2262315</v>
      </c>
      <c r="G73" s="808">
        <f t="shared" si="41"/>
        <v>21703</v>
      </c>
      <c r="H73" s="811">
        <f t="shared" si="41"/>
        <v>0</v>
      </c>
      <c r="I73" s="807">
        <f t="shared" si="41"/>
        <v>10659582</v>
      </c>
      <c r="J73" s="1266">
        <f t="shared" ref="J73:J83" si="42">I73/D73*100</f>
        <v>97.994274556526335</v>
      </c>
      <c r="K73" s="808">
        <f>+K74+K77</f>
        <v>19640</v>
      </c>
      <c r="L73" s="1336">
        <f>K73/G73*100</f>
        <v>90.494401695618123</v>
      </c>
      <c r="M73" s="811">
        <f t="shared" ref="M73:M83" si="43">+K73-G73</f>
        <v>-2063</v>
      </c>
      <c r="N73" s="3281"/>
      <c r="O73" s="1244"/>
    </row>
    <row r="74" spans="1:16" ht="13.5" customHeight="1" x14ac:dyDescent="0.2">
      <c r="A74" s="3131"/>
      <c r="B74" s="849" t="s">
        <v>17</v>
      </c>
      <c r="C74" s="3100" t="s">
        <v>113</v>
      </c>
      <c r="D74" s="812">
        <f t="shared" ref="D74:I74" si="44">+D75+D76</f>
        <v>1631666</v>
      </c>
      <c r="E74" s="813">
        <f t="shared" si="44"/>
        <v>1289066</v>
      </c>
      <c r="F74" s="813">
        <f>+F75+F76</f>
        <v>339346</v>
      </c>
      <c r="G74" s="813">
        <f t="shared" si="44"/>
        <v>3254</v>
      </c>
      <c r="H74" s="814">
        <f t="shared" si="44"/>
        <v>0</v>
      </c>
      <c r="I74" s="812">
        <f t="shared" si="44"/>
        <v>1598942</v>
      </c>
      <c r="J74" s="1298">
        <f t="shared" si="42"/>
        <v>97.994442490068437</v>
      </c>
      <c r="K74" s="813">
        <f>+K75+K76</f>
        <v>2946</v>
      </c>
      <c r="L74" s="1337">
        <f>K74/G74*100</f>
        <v>90.534726490473261</v>
      </c>
      <c r="M74" s="814">
        <f t="shared" si="43"/>
        <v>-308</v>
      </c>
      <c r="N74" s="3281"/>
      <c r="O74" s="1244"/>
    </row>
    <row r="75" spans="1:16" ht="13.5" customHeight="1" x14ac:dyDescent="0.2">
      <c r="A75" s="3131"/>
      <c r="B75" s="243" t="s">
        <v>4</v>
      </c>
      <c r="C75" s="3101"/>
      <c r="D75" s="244">
        <f>+E75+F75+G75+H75</f>
        <v>815833</v>
      </c>
      <c r="E75" s="779">
        <f>236517+198691+81129+128196</f>
        <v>644533</v>
      </c>
      <c r="F75" s="245">
        <v>169673</v>
      </c>
      <c r="G75" s="245">
        <v>1627</v>
      </c>
      <c r="H75" s="281">
        <v>0</v>
      </c>
      <c r="I75" s="246">
        <f>K75+E75+F75-16208</f>
        <v>799471</v>
      </c>
      <c r="J75" s="1305">
        <f t="shared" si="42"/>
        <v>97.994442490068437</v>
      </c>
      <c r="K75" s="779">
        <v>1473</v>
      </c>
      <c r="L75" s="1338">
        <f>K75/G75*100</f>
        <v>90.534726490473261</v>
      </c>
      <c r="M75" s="247">
        <f t="shared" si="43"/>
        <v>-154</v>
      </c>
      <c r="N75" s="3281"/>
      <c r="O75" s="1244"/>
    </row>
    <row r="76" spans="1:16" ht="13.5" customHeight="1" x14ac:dyDescent="0.2">
      <c r="A76" s="3131"/>
      <c r="B76" s="243" t="s">
        <v>7</v>
      </c>
      <c r="C76" s="3101"/>
      <c r="D76" s="244">
        <f>+E76+F76+G76+H76</f>
        <v>815833</v>
      </c>
      <c r="E76" s="779">
        <f>236517+198691+81129+128196</f>
        <v>644533</v>
      </c>
      <c r="F76" s="245">
        <v>169673</v>
      </c>
      <c r="G76" s="245">
        <v>1627</v>
      </c>
      <c r="H76" s="281">
        <v>0</v>
      </c>
      <c r="I76" s="246">
        <f>K76+E76+F76-16208</f>
        <v>799471</v>
      </c>
      <c r="J76" s="1305">
        <f t="shared" si="42"/>
        <v>97.994442490068437</v>
      </c>
      <c r="K76" s="779">
        <v>1473</v>
      </c>
      <c r="L76" s="1332">
        <f>K76/G76*100</f>
        <v>90.534726490473261</v>
      </c>
      <c r="M76" s="247">
        <f t="shared" si="43"/>
        <v>-154</v>
      </c>
      <c r="N76" s="3281"/>
      <c r="O76" s="1244"/>
    </row>
    <row r="77" spans="1:16" ht="12.75" customHeight="1" x14ac:dyDescent="0.2">
      <c r="A77" s="3131"/>
      <c r="B77" s="852" t="s">
        <v>12</v>
      </c>
      <c r="C77" s="3101"/>
      <c r="D77" s="254">
        <f t="shared" ref="D77:I77" si="45">+D78</f>
        <v>9246094</v>
      </c>
      <c r="E77" s="255">
        <f t="shared" si="45"/>
        <v>7304676</v>
      </c>
      <c r="F77" s="255">
        <f>+F78</f>
        <v>1922969</v>
      </c>
      <c r="G77" s="255">
        <f t="shared" si="45"/>
        <v>18449</v>
      </c>
      <c r="H77" s="259">
        <f t="shared" si="45"/>
        <v>0</v>
      </c>
      <c r="I77" s="254">
        <f t="shared" si="45"/>
        <v>9060640</v>
      </c>
      <c r="J77" s="1298">
        <f t="shared" si="42"/>
        <v>97.994244921152657</v>
      </c>
      <c r="K77" s="255">
        <f>+K78</f>
        <v>16694</v>
      </c>
      <c r="L77" s="1298">
        <f t="shared" ref="L77:L78" si="46">K77/G77*100</f>
        <v>90.487289283972032</v>
      </c>
      <c r="M77" s="259">
        <f t="shared" si="43"/>
        <v>-1755</v>
      </c>
      <c r="N77" s="3281"/>
      <c r="O77" s="1244"/>
    </row>
    <row r="78" spans="1:16" ht="13.5" customHeight="1" x14ac:dyDescent="0.2">
      <c r="A78" s="3131"/>
      <c r="B78" s="243" t="s">
        <v>14</v>
      </c>
      <c r="C78" s="3101"/>
      <c r="D78" s="244">
        <f>+E78+F78+G78+H78</f>
        <v>9246094</v>
      </c>
      <c r="E78" s="779">
        <f>2680513+2251831+919455+1452877</f>
        <v>7304676</v>
      </c>
      <c r="F78" s="245">
        <v>1922969</v>
      </c>
      <c r="G78" s="245">
        <v>18449</v>
      </c>
      <c r="H78" s="281">
        <v>0</v>
      </c>
      <c r="I78" s="246">
        <f>K78+E78+F78-183699</f>
        <v>9060640</v>
      </c>
      <c r="J78" s="1305">
        <f t="shared" si="42"/>
        <v>97.994244921152657</v>
      </c>
      <c r="K78" s="779">
        <v>16694</v>
      </c>
      <c r="L78" s="1305">
        <f t="shared" si="46"/>
        <v>90.487289283972032</v>
      </c>
      <c r="M78" s="247">
        <f t="shared" si="43"/>
        <v>-1755</v>
      </c>
      <c r="N78" s="3281"/>
      <c r="O78" s="1244"/>
    </row>
    <row r="79" spans="1:16" ht="13.5" customHeight="1" x14ac:dyDescent="0.2">
      <c r="A79" s="3132"/>
      <c r="B79" s="846" t="s">
        <v>16</v>
      </c>
      <c r="C79" s="25"/>
      <c r="D79" s="233">
        <f t="shared" ref="D79:I79" si="47">+D80+D82</f>
        <v>10061927</v>
      </c>
      <c r="E79" s="234">
        <f t="shared" si="47"/>
        <v>8370326</v>
      </c>
      <c r="F79" s="234">
        <f t="shared" si="47"/>
        <v>1671525</v>
      </c>
      <c r="G79" s="234">
        <f t="shared" si="47"/>
        <v>20076</v>
      </c>
      <c r="H79" s="241">
        <f t="shared" si="47"/>
        <v>0</v>
      </c>
      <c r="I79" s="233">
        <f t="shared" si="47"/>
        <v>9860110</v>
      </c>
      <c r="J79" s="1266">
        <f t="shared" si="42"/>
        <v>97.994251001821027</v>
      </c>
      <c r="K79" s="234">
        <f>+K80+K82</f>
        <v>1473</v>
      </c>
      <c r="L79" s="1266">
        <f>K79/G79*100</f>
        <v>7.3371189479976087</v>
      </c>
      <c r="M79" s="241">
        <f t="shared" si="43"/>
        <v>-18603</v>
      </c>
      <c r="N79" s="3188"/>
      <c r="O79" s="1244"/>
    </row>
    <row r="80" spans="1:16" ht="13.5" customHeight="1" x14ac:dyDescent="0.2">
      <c r="A80" s="3132"/>
      <c r="B80" s="849" t="s">
        <v>17</v>
      </c>
      <c r="C80" s="3208" t="s">
        <v>107</v>
      </c>
      <c r="D80" s="254">
        <f t="shared" ref="D80:I80" si="48">+D81</f>
        <v>815833</v>
      </c>
      <c r="E80" s="255">
        <f t="shared" si="48"/>
        <v>644533</v>
      </c>
      <c r="F80" s="255">
        <f t="shared" si="48"/>
        <v>169673</v>
      </c>
      <c r="G80" s="255">
        <f t="shared" si="48"/>
        <v>1627</v>
      </c>
      <c r="H80" s="259">
        <f t="shared" si="48"/>
        <v>0</v>
      </c>
      <c r="I80" s="254">
        <f t="shared" si="48"/>
        <v>799471</v>
      </c>
      <c r="J80" s="1298">
        <f t="shared" si="42"/>
        <v>97.994442490068437</v>
      </c>
      <c r="K80" s="255">
        <f>+K81</f>
        <v>1473</v>
      </c>
      <c r="L80" s="1298">
        <f>K80/G80*100</f>
        <v>90.534726490473261</v>
      </c>
      <c r="M80" s="259">
        <f t="shared" si="43"/>
        <v>-154</v>
      </c>
      <c r="N80" s="3188"/>
      <c r="O80" s="1244"/>
    </row>
    <row r="81" spans="1:15" ht="13.5" customHeight="1" x14ac:dyDescent="0.2">
      <c r="A81" s="3132"/>
      <c r="B81" s="243" t="s">
        <v>7</v>
      </c>
      <c r="C81" s="3101"/>
      <c r="D81" s="244">
        <f>+E81+F81+G81+H81</f>
        <v>815833</v>
      </c>
      <c r="E81" s="779">
        <f>236517+198691+81129+128196</f>
        <v>644533</v>
      </c>
      <c r="F81" s="245">
        <v>169673</v>
      </c>
      <c r="G81" s="245">
        <v>1627</v>
      </c>
      <c r="H81" s="281">
        <v>0</v>
      </c>
      <c r="I81" s="244">
        <f>K81+E81+F81-16208</f>
        <v>799471</v>
      </c>
      <c r="J81" s="1305">
        <f t="shared" si="42"/>
        <v>97.994442490068437</v>
      </c>
      <c r="K81" s="853">
        <v>1473</v>
      </c>
      <c r="L81" s="1305">
        <f>K81/G81*100</f>
        <v>90.534726490473261</v>
      </c>
      <c r="M81" s="1191">
        <f t="shared" si="43"/>
        <v>-154</v>
      </c>
      <c r="N81" s="3188"/>
      <c r="O81" s="1244"/>
    </row>
    <row r="82" spans="1:15" ht="12" customHeight="1" x14ac:dyDescent="0.2">
      <c r="A82" s="3132"/>
      <c r="B82" s="852" t="s">
        <v>12</v>
      </c>
      <c r="C82" s="3209"/>
      <c r="D82" s="254">
        <f t="shared" ref="D82:I82" si="49">+D83</f>
        <v>9246094</v>
      </c>
      <c r="E82" s="255">
        <f t="shared" si="49"/>
        <v>7725793</v>
      </c>
      <c r="F82" s="255">
        <f t="shared" si="49"/>
        <v>1501852</v>
      </c>
      <c r="G82" s="255">
        <f t="shared" si="49"/>
        <v>18449</v>
      </c>
      <c r="H82" s="259">
        <f t="shared" si="49"/>
        <v>0</v>
      </c>
      <c r="I82" s="254">
        <f t="shared" si="49"/>
        <v>9060639</v>
      </c>
      <c r="J82" s="1298">
        <f t="shared" si="42"/>
        <v>97.994234105774822</v>
      </c>
      <c r="K82" s="255">
        <f>+K83</f>
        <v>0</v>
      </c>
      <c r="L82" s="1298">
        <f>K82/G82*100</f>
        <v>0</v>
      </c>
      <c r="M82" s="259">
        <f t="shared" si="43"/>
        <v>-18449</v>
      </c>
      <c r="N82" s="3188"/>
      <c r="O82" s="1244"/>
    </row>
    <row r="83" spans="1:15" ht="13.5" customHeight="1" thickBot="1" x14ac:dyDescent="0.25">
      <c r="A83" s="3133"/>
      <c r="B83" s="828" t="s">
        <v>14</v>
      </c>
      <c r="C83" s="3210"/>
      <c r="D83" s="262">
        <f>+E83+F83+G83+H83</f>
        <v>9246094</v>
      </c>
      <c r="E83" s="263">
        <f>2680513+2251831+980781+1812668</f>
        <v>7725793</v>
      </c>
      <c r="F83" s="799">
        <v>1501852</v>
      </c>
      <c r="G83" s="799">
        <v>18449</v>
      </c>
      <c r="H83" s="1334">
        <v>0</v>
      </c>
      <c r="I83" s="264">
        <f>K83+E83+F83-167006</f>
        <v>9060639</v>
      </c>
      <c r="J83" s="1299">
        <f t="shared" si="42"/>
        <v>97.994234105774822</v>
      </c>
      <c r="K83" s="263">
        <v>0</v>
      </c>
      <c r="L83" s="1299">
        <f>K83/G83*100</f>
        <v>0</v>
      </c>
      <c r="M83" s="265">
        <f t="shared" si="43"/>
        <v>-18449</v>
      </c>
      <c r="N83" s="3189"/>
      <c r="O83" s="1244"/>
    </row>
    <row r="84" spans="1:15" ht="41.25" customHeight="1" x14ac:dyDescent="0.2">
      <c r="A84" s="3130" t="s">
        <v>44</v>
      </c>
      <c r="B84" s="831" t="s">
        <v>303</v>
      </c>
      <c r="C84" s="236" t="s">
        <v>171</v>
      </c>
      <c r="D84" s="237"/>
      <c r="E84" s="238"/>
      <c r="F84" s="238"/>
      <c r="G84" s="238"/>
      <c r="H84" s="240"/>
      <c r="I84" s="237"/>
      <c r="J84" s="238"/>
      <c r="K84" s="238"/>
      <c r="L84" s="240"/>
      <c r="M84" s="240"/>
      <c r="N84" s="3290" t="s">
        <v>103</v>
      </c>
      <c r="O84" s="1244"/>
    </row>
    <row r="85" spans="1:15" ht="13.5" customHeight="1" x14ac:dyDescent="0.2">
      <c r="A85" s="3131"/>
      <c r="B85" s="846" t="s">
        <v>2</v>
      </c>
      <c r="C85" s="25"/>
      <c r="D85" s="807">
        <f t="shared" ref="D85:E85" si="50">+D86+D89</f>
        <v>3000000</v>
      </c>
      <c r="E85" s="808">
        <f t="shared" si="50"/>
        <v>0</v>
      </c>
      <c r="F85" s="808">
        <f>+F86+F89</f>
        <v>10616</v>
      </c>
      <c r="G85" s="808">
        <f t="shared" ref="G85:I85" si="51">+G86+G89</f>
        <v>2704424</v>
      </c>
      <c r="H85" s="811">
        <f t="shared" si="51"/>
        <v>284960</v>
      </c>
      <c r="I85" s="807">
        <f t="shared" si="51"/>
        <v>79602</v>
      </c>
      <c r="J85" s="1266">
        <f t="shared" ref="J85:J95" si="52">I85/D85*100</f>
        <v>2.6534</v>
      </c>
      <c r="K85" s="808">
        <f>+K86+K89</f>
        <v>72819</v>
      </c>
      <c r="L85" s="1336">
        <f>K85/G85*100</f>
        <v>2.6925881444625546</v>
      </c>
      <c r="M85" s="811">
        <f t="shared" ref="M85:M95" si="53">+K85-G85</f>
        <v>-2631605</v>
      </c>
      <c r="N85" s="3281"/>
      <c r="O85" s="1244"/>
    </row>
    <row r="86" spans="1:15" ht="13.5" customHeight="1" x14ac:dyDescent="0.2">
      <c r="A86" s="3131"/>
      <c r="B86" s="849" t="s">
        <v>17</v>
      </c>
      <c r="C86" s="3100" t="s">
        <v>113</v>
      </c>
      <c r="D86" s="812">
        <f t="shared" ref="D86:E86" si="54">+D87+D88</f>
        <v>450000</v>
      </c>
      <c r="E86" s="813">
        <f t="shared" si="54"/>
        <v>0</v>
      </c>
      <c r="F86" s="813">
        <f>+F87+F88</f>
        <v>1592</v>
      </c>
      <c r="G86" s="813">
        <f t="shared" ref="G86:I86" si="55">+G87+G88</f>
        <v>405664</v>
      </c>
      <c r="H86" s="814">
        <f t="shared" si="55"/>
        <v>42744</v>
      </c>
      <c r="I86" s="812">
        <f t="shared" si="55"/>
        <v>11942</v>
      </c>
      <c r="J86" s="1298">
        <f t="shared" si="52"/>
        <v>2.653777777777778</v>
      </c>
      <c r="K86" s="813">
        <f>+K87+K88</f>
        <v>10924</v>
      </c>
      <c r="L86" s="1337">
        <f>K86/G86*100</f>
        <v>2.6928689753096156</v>
      </c>
      <c r="M86" s="814">
        <f t="shared" si="53"/>
        <v>-394740</v>
      </c>
      <c r="N86" s="3281"/>
      <c r="O86" s="1244"/>
    </row>
    <row r="87" spans="1:15" ht="13.5" customHeight="1" x14ac:dyDescent="0.2">
      <c r="A87" s="3131"/>
      <c r="B87" s="243" t="s">
        <v>4</v>
      </c>
      <c r="C87" s="3101"/>
      <c r="D87" s="244">
        <f>+E87+F87+G87+H87</f>
        <v>225000</v>
      </c>
      <c r="E87" s="779">
        <v>0</v>
      </c>
      <c r="F87" s="245">
        <v>796</v>
      </c>
      <c r="G87" s="245">
        <v>202832</v>
      </c>
      <c r="H87" s="281">
        <v>21372</v>
      </c>
      <c r="I87" s="246">
        <f>K87+E87+F87-287</f>
        <v>5971</v>
      </c>
      <c r="J87" s="1305">
        <f t="shared" si="52"/>
        <v>2.653777777777778</v>
      </c>
      <c r="K87" s="779">
        <v>5462</v>
      </c>
      <c r="L87" s="1338">
        <f>K87/G87*100</f>
        <v>2.6928689753096156</v>
      </c>
      <c r="M87" s="247">
        <f t="shared" si="53"/>
        <v>-197370</v>
      </c>
      <c r="N87" s="3281"/>
      <c r="O87" s="1244"/>
    </row>
    <row r="88" spans="1:15" ht="13.5" customHeight="1" x14ac:dyDescent="0.2">
      <c r="A88" s="3131"/>
      <c r="B88" s="243" t="s">
        <v>7</v>
      </c>
      <c r="C88" s="3101"/>
      <c r="D88" s="244">
        <f>+E88+F88+G88+H88</f>
        <v>225000</v>
      </c>
      <c r="E88" s="779">
        <v>0</v>
      </c>
      <c r="F88" s="245">
        <v>796</v>
      </c>
      <c r="G88" s="245">
        <v>202832</v>
      </c>
      <c r="H88" s="281">
        <v>21372</v>
      </c>
      <c r="I88" s="246">
        <f>K88+E88+F88-287</f>
        <v>5971</v>
      </c>
      <c r="J88" s="1305">
        <f t="shared" si="52"/>
        <v>2.653777777777778</v>
      </c>
      <c r="K88" s="779">
        <v>5462</v>
      </c>
      <c r="L88" s="1332">
        <f>K88/G88*100</f>
        <v>2.6928689753096156</v>
      </c>
      <c r="M88" s="247">
        <f t="shared" si="53"/>
        <v>-197370</v>
      </c>
      <c r="N88" s="3281"/>
      <c r="O88" s="1244"/>
    </row>
    <row r="89" spans="1:15" ht="13.5" customHeight="1" x14ac:dyDescent="0.2">
      <c r="A89" s="3131"/>
      <c r="B89" s="852" t="s">
        <v>12</v>
      </c>
      <c r="C89" s="3101"/>
      <c r="D89" s="254">
        <f t="shared" ref="D89:I89" si="56">+D90</f>
        <v>2550000</v>
      </c>
      <c r="E89" s="255">
        <f t="shared" si="56"/>
        <v>0</v>
      </c>
      <c r="F89" s="255">
        <f>+F90</f>
        <v>9024</v>
      </c>
      <c r="G89" s="255">
        <f t="shared" si="56"/>
        <v>2298760</v>
      </c>
      <c r="H89" s="259">
        <f t="shared" si="56"/>
        <v>242216</v>
      </c>
      <c r="I89" s="254">
        <f t="shared" si="56"/>
        <v>67660</v>
      </c>
      <c r="J89" s="1298">
        <f t="shared" si="52"/>
        <v>2.6533333333333333</v>
      </c>
      <c r="K89" s="255">
        <f>+K90</f>
        <v>61895</v>
      </c>
      <c r="L89" s="1298">
        <f t="shared" ref="L89:L90" si="57">K89/G89*100</f>
        <v>2.6925385860202891</v>
      </c>
      <c r="M89" s="259">
        <f t="shared" si="53"/>
        <v>-2236865</v>
      </c>
      <c r="N89" s="3281"/>
      <c r="O89" s="1244"/>
    </row>
    <row r="90" spans="1:15" ht="13.5" customHeight="1" x14ac:dyDescent="0.2">
      <c r="A90" s="3131"/>
      <c r="B90" s="243" t="s">
        <v>14</v>
      </c>
      <c r="C90" s="3101"/>
      <c r="D90" s="244">
        <f>+E90+F90+G90+H90</f>
        <v>2550000</v>
      </c>
      <c r="E90" s="779">
        <v>0</v>
      </c>
      <c r="F90" s="245">
        <v>9024</v>
      </c>
      <c r="G90" s="245">
        <v>2298760</v>
      </c>
      <c r="H90" s="281">
        <v>242216</v>
      </c>
      <c r="I90" s="246">
        <f>K90+E90+F90-3259</f>
        <v>67660</v>
      </c>
      <c r="J90" s="1305">
        <f t="shared" si="52"/>
        <v>2.6533333333333333</v>
      </c>
      <c r="K90" s="779">
        <v>61895</v>
      </c>
      <c r="L90" s="1305">
        <f t="shared" si="57"/>
        <v>2.6925385860202891</v>
      </c>
      <c r="M90" s="247">
        <f t="shared" si="53"/>
        <v>-2236865</v>
      </c>
      <c r="N90" s="3281"/>
      <c r="O90" s="1244"/>
    </row>
    <row r="91" spans="1:15" ht="13.5" customHeight="1" x14ac:dyDescent="0.2">
      <c r="A91" s="3132"/>
      <c r="B91" s="846" t="s">
        <v>16</v>
      </c>
      <c r="C91" s="25"/>
      <c r="D91" s="233">
        <f t="shared" ref="D91:I91" si="58">+D92+D94</f>
        <v>2775000</v>
      </c>
      <c r="E91" s="234">
        <f t="shared" si="58"/>
        <v>0</v>
      </c>
      <c r="F91" s="234">
        <f t="shared" si="58"/>
        <v>9820</v>
      </c>
      <c r="G91" s="234">
        <f t="shared" si="58"/>
        <v>2501592</v>
      </c>
      <c r="H91" s="241">
        <f t="shared" si="58"/>
        <v>263588</v>
      </c>
      <c r="I91" s="233">
        <f t="shared" si="58"/>
        <v>94633</v>
      </c>
      <c r="J91" s="1266">
        <f t="shared" si="52"/>
        <v>3.4101981981981986</v>
      </c>
      <c r="K91" s="234">
        <f>+K92+K94</f>
        <v>85100</v>
      </c>
      <c r="L91" s="1266">
        <f>K91/G91*100</f>
        <v>3.4018337122920119</v>
      </c>
      <c r="M91" s="241">
        <f t="shared" si="53"/>
        <v>-2416492</v>
      </c>
      <c r="N91" s="3188"/>
      <c r="O91" s="1244"/>
    </row>
    <row r="92" spans="1:15" ht="13.5" customHeight="1" x14ac:dyDescent="0.2">
      <c r="A92" s="3132"/>
      <c r="B92" s="849" t="s">
        <v>17</v>
      </c>
      <c r="C92" s="3208" t="s">
        <v>107</v>
      </c>
      <c r="D92" s="254">
        <f t="shared" ref="D92:I92" si="59">+D93</f>
        <v>225000</v>
      </c>
      <c r="E92" s="255">
        <f t="shared" si="59"/>
        <v>0</v>
      </c>
      <c r="F92" s="255">
        <f t="shared" si="59"/>
        <v>796</v>
      </c>
      <c r="G92" s="255">
        <f t="shared" si="59"/>
        <v>202832</v>
      </c>
      <c r="H92" s="259">
        <f t="shared" si="59"/>
        <v>21372</v>
      </c>
      <c r="I92" s="254">
        <f t="shared" si="59"/>
        <v>7409</v>
      </c>
      <c r="J92" s="1298">
        <f t="shared" si="52"/>
        <v>3.2928888888888888</v>
      </c>
      <c r="K92" s="255">
        <f>+K93</f>
        <v>6900</v>
      </c>
      <c r="L92" s="1298">
        <f>K92/G92*100</f>
        <v>3.4018300859824881</v>
      </c>
      <c r="M92" s="259">
        <f t="shared" si="53"/>
        <v>-195932</v>
      </c>
      <c r="N92" s="3188"/>
      <c r="O92" s="1244"/>
    </row>
    <row r="93" spans="1:15" ht="13.5" customHeight="1" x14ac:dyDescent="0.2">
      <c r="A93" s="3132"/>
      <c r="B93" s="243" t="s">
        <v>7</v>
      </c>
      <c r="C93" s="3101"/>
      <c r="D93" s="244">
        <f>+E93+F93+G93+H93</f>
        <v>225000</v>
      </c>
      <c r="E93" s="779">
        <v>0</v>
      </c>
      <c r="F93" s="245">
        <v>796</v>
      </c>
      <c r="G93" s="245">
        <v>202832</v>
      </c>
      <c r="H93" s="281">
        <v>21372</v>
      </c>
      <c r="I93" s="244">
        <f>K93+E93+F93-287</f>
        <v>7409</v>
      </c>
      <c r="J93" s="1305">
        <f t="shared" si="52"/>
        <v>3.2928888888888888</v>
      </c>
      <c r="K93" s="853">
        <v>6900</v>
      </c>
      <c r="L93" s="1305">
        <f>K93/G93*100</f>
        <v>3.4018300859824881</v>
      </c>
      <c r="M93" s="1191">
        <f t="shared" si="53"/>
        <v>-195932</v>
      </c>
      <c r="N93" s="3188"/>
      <c r="O93" s="1244"/>
    </row>
    <row r="94" spans="1:15" ht="13.5" customHeight="1" x14ac:dyDescent="0.2">
      <c r="A94" s="3132"/>
      <c r="B94" s="852" t="s">
        <v>12</v>
      </c>
      <c r="C94" s="3209"/>
      <c r="D94" s="254">
        <f t="shared" ref="D94:I94" si="60">+D95</f>
        <v>2550000</v>
      </c>
      <c r="E94" s="255">
        <f t="shared" si="60"/>
        <v>0</v>
      </c>
      <c r="F94" s="255">
        <f t="shared" si="60"/>
        <v>9024</v>
      </c>
      <c r="G94" s="255">
        <f t="shared" si="60"/>
        <v>2298760</v>
      </c>
      <c r="H94" s="259">
        <f t="shared" si="60"/>
        <v>242216</v>
      </c>
      <c r="I94" s="254">
        <f t="shared" si="60"/>
        <v>87224</v>
      </c>
      <c r="J94" s="1298">
        <f t="shared" si="52"/>
        <v>3.4205490196078427</v>
      </c>
      <c r="K94" s="255">
        <f>+K95</f>
        <v>78200</v>
      </c>
      <c r="L94" s="1298">
        <f>K94/G94*100</f>
        <v>3.4018340322608713</v>
      </c>
      <c r="M94" s="259">
        <f t="shared" si="53"/>
        <v>-2220560</v>
      </c>
      <c r="N94" s="3188"/>
      <c r="O94" s="1244"/>
    </row>
    <row r="95" spans="1:15" ht="13.5" customHeight="1" thickBot="1" x14ac:dyDescent="0.25">
      <c r="A95" s="3133"/>
      <c r="B95" s="828" t="s">
        <v>14</v>
      </c>
      <c r="C95" s="3210"/>
      <c r="D95" s="262">
        <f>+E95+F95+G95+H95</f>
        <v>2550000</v>
      </c>
      <c r="E95" s="263">
        <v>0</v>
      </c>
      <c r="F95" s="799">
        <v>9024</v>
      </c>
      <c r="G95" s="799">
        <v>2298760</v>
      </c>
      <c r="H95" s="1334">
        <v>242216</v>
      </c>
      <c r="I95" s="264">
        <f>K95+E95+F95</f>
        <v>87224</v>
      </c>
      <c r="J95" s="1299">
        <f t="shared" si="52"/>
        <v>3.4205490196078427</v>
      </c>
      <c r="K95" s="263">
        <v>78200</v>
      </c>
      <c r="L95" s="1299">
        <f>K95/G95*100</f>
        <v>3.4018340322608713</v>
      </c>
      <c r="M95" s="265">
        <f t="shared" si="53"/>
        <v>-2220560</v>
      </c>
      <c r="N95" s="3189"/>
      <c r="O95" s="1244"/>
    </row>
    <row r="96" spans="1:15" ht="26.25" customHeight="1" x14ac:dyDescent="0.2">
      <c r="A96" s="3130" t="s">
        <v>45</v>
      </c>
      <c r="B96" s="831" t="s">
        <v>115</v>
      </c>
      <c r="C96" s="236" t="s">
        <v>171</v>
      </c>
      <c r="D96" s="237"/>
      <c r="E96" s="238"/>
      <c r="F96" s="238"/>
      <c r="G96" s="238"/>
      <c r="H96" s="240"/>
      <c r="I96" s="237"/>
      <c r="J96" s="238"/>
      <c r="K96" s="238"/>
      <c r="L96" s="238"/>
      <c r="M96" s="240"/>
      <c r="N96" s="3290" t="s">
        <v>103</v>
      </c>
      <c r="O96" s="1244"/>
    </row>
    <row r="97" spans="1:15" ht="13.5" customHeight="1" x14ac:dyDescent="0.2">
      <c r="A97" s="3131"/>
      <c r="B97" s="846" t="s">
        <v>2</v>
      </c>
      <c r="C97" s="25"/>
      <c r="D97" s="807">
        <f t="shared" ref="D97:I97" si="61">+D98+D101</f>
        <v>4823588</v>
      </c>
      <c r="E97" s="808">
        <f t="shared" si="61"/>
        <v>3978417</v>
      </c>
      <c r="F97" s="808">
        <f t="shared" si="61"/>
        <v>845171</v>
      </c>
      <c r="G97" s="808">
        <f t="shared" si="61"/>
        <v>0</v>
      </c>
      <c r="H97" s="811">
        <f t="shared" si="61"/>
        <v>0</v>
      </c>
      <c r="I97" s="807">
        <f t="shared" si="61"/>
        <v>4823559</v>
      </c>
      <c r="J97" s="1266">
        <f>I97/D97*100</f>
        <v>99.999398787790341</v>
      </c>
      <c r="K97" s="808">
        <f>+K98+K101</f>
        <v>0</v>
      </c>
      <c r="L97" s="979">
        <v>0</v>
      </c>
      <c r="M97" s="1339">
        <f t="shared" ref="M97:M107" si="62">+K97-G97</f>
        <v>0</v>
      </c>
      <c r="N97" s="3281"/>
      <c r="O97" s="1244"/>
    </row>
    <row r="98" spans="1:15" ht="13.5" customHeight="1" x14ac:dyDescent="0.2">
      <c r="A98" s="3131"/>
      <c r="B98" s="849" t="s">
        <v>17</v>
      </c>
      <c r="C98" s="3100" t="s">
        <v>104</v>
      </c>
      <c r="D98" s="812">
        <f t="shared" ref="D98:I98" si="63">+D99+D100</f>
        <v>723544</v>
      </c>
      <c r="E98" s="813">
        <f t="shared" si="63"/>
        <v>596766</v>
      </c>
      <c r="F98" s="813">
        <f t="shared" si="63"/>
        <v>126778</v>
      </c>
      <c r="G98" s="813">
        <f t="shared" si="63"/>
        <v>0</v>
      </c>
      <c r="H98" s="814">
        <f t="shared" si="63"/>
        <v>0</v>
      </c>
      <c r="I98" s="812">
        <f t="shared" si="63"/>
        <v>723537</v>
      </c>
      <c r="J98" s="1298">
        <f t="shared" ref="J98:J102" si="64">I98/D98*100</f>
        <v>99.999032539831717</v>
      </c>
      <c r="K98" s="813">
        <f>+K99+K100</f>
        <v>0</v>
      </c>
      <c r="L98" s="944">
        <v>0</v>
      </c>
      <c r="M98" s="1340">
        <f t="shared" si="62"/>
        <v>0</v>
      </c>
      <c r="N98" s="3281"/>
      <c r="O98" s="1244"/>
    </row>
    <row r="99" spans="1:15" ht="11.25" customHeight="1" x14ac:dyDescent="0.2">
      <c r="A99" s="3131"/>
      <c r="B99" s="243" t="s">
        <v>4</v>
      </c>
      <c r="C99" s="3101"/>
      <c r="D99" s="244">
        <f>+E99+F99+G99+H99</f>
        <v>72358</v>
      </c>
      <c r="E99" s="779">
        <f>4370+18806+18245+18257</f>
        <v>59678</v>
      </c>
      <c r="F99" s="245">
        <v>12680</v>
      </c>
      <c r="G99" s="245">
        <v>0</v>
      </c>
      <c r="H99" s="1341">
        <v>0</v>
      </c>
      <c r="I99" s="246">
        <f>K99+E99+F99-3</f>
        <v>72355</v>
      </c>
      <c r="J99" s="1305">
        <f t="shared" si="64"/>
        <v>99.995853948423118</v>
      </c>
      <c r="K99" s="779">
        <v>0</v>
      </c>
      <c r="L99" s="1288">
        <v>0</v>
      </c>
      <c r="M99" s="1342">
        <f t="shared" si="62"/>
        <v>0</v>
      </c>
      <c r="N99" s="3281"/>
      <c r="O99" s="1244"/>
    </row>
    <row r="100" spans="1:15" x14ac:dyDescent="0.2">
      <c r="A100" s="3131"/>
      <c r="B100" s="243" t="s">
        <v>7</v>
      </c>
      <c r="C100" s="3101"/>
      <c r="D100" s="244">
        <f>+E100+F100+G100+H100</f>
        <v>651186</v>
      </c>
      <c r="E100" s="779">
        <f>39327+169256+164195+164310</f>
        <v>537088</v>
      </c>
      <c r="F100" s="245">
        <v>114098</v>
      </c>
      <c r="G100" s="245">
        <v>0</v>
      </c>
      <c r="H100" s="281">
        <v>0</v>
      </c>
      <c r="I100" s="246">
        <f>K100+E100+F100-4</f>
        <v>651182</v>
      </c>
      <c r="J100" s="1305">
        <f t="shared" si="64"/>
        <v>99.999385736179832</v>
      </c>
      <c r="K100" s="779">
        <v>0</v>
      </c>
      <c r="L100" s="1288">
        <v>0</v>
      </c>
      <c r="M100" s="1342">
        <f t="shared" si="62"/>
        <v>0</v>
      </c>
      <c r="N100" s="3281"/>
      <c r="O100" s="1244"/>
    </row>
    <row r="101" spans="1:15" ht="12.75" customHeight="1" x14ac:dyDescent="0.2">
      <c r="A101" s="3131"/>
      <c r="B101" s="852" t="s">
        <v>12</v>
      </c>
      <c r="C101" s="3101"/>
      <c r="D101" s="254">
        <f t="shared" ref="D101:I101" si="65">+D102</f>
        <v>4100044</v>
      </c>
      <c r="E101" s="255">
        <f t="shared" si="65"/>
        <v>3381651</v>
      </c>
      <c r="F101" s="255">
        <f t="shared" si="65"/>
        <v>718393</v>
      </c>
      <c r="G101" s="255">
        <f t="shared" si="65"/>
        <v>0</v>
      </c>
      <c r="H101" s="259">
        <f t="shared" si="65"/>
        <v>0</v>
      </c>
      <c r="I101" s="254">
        <f t="shared" si="65"/>
        <v>4100022</v>
      </c>
      <c r="J101" s="1298">
        <f t="shared" si="64"/>
        <v>99.999463420392559</v>
      </c>
      <c r="K101" s="255">
        <f>+K102</f>
        <v>0</v>
      </c>
      <c r="L101" s="944">
        <v>0</v>
      </c>
      <c r="M101" s="1343">
        <f t="shared" si="62"/>
        <v>0</v>
      </c>
      <c r="N101" s="3281"/>
      <c r="O101" s="1244"/>
    </row>
    <row r="102" spans="1:15" x14ac:dyDescent="0.2">
      <c r="A102" s="3131"/>
      <c r="B102" s="243" t="s">
        <v>14</v>
      </c>
      <c r="C102" s="3101"/>
      <c r="D102" s="244">
        <f>+E102+F102+G102+H102</f>
        <v>4100044</v>
      </c>
      <c r="E102" s="779">
        <f>247610+1065685+1033813+1034543</f>
        <v>3381651</v>
      </c>
      <c r="F102" s="245">
        <v>718393</v>
      </c>
      <c r="G102" s="245">
        <v>0</v>
      </c>
      <c r="H102" s="281">
        <v>0</v>
      </c>
      <c r="I102" s="246">
        <f>K102+E102+F102-22</f>
        <v>4100022</v>
      </c>
      <c r="J102" s="1305">
        <f t="shared" si="64"/>
        <v>99.999463420392559</v>
      </c>
      <c r="K102" s="779">
        <v>0</v>
      </c>
      <c r="L102" s="1288">
        <v>0</v>
      </c>
      <c r="M102" s="1342">
        <f t="shared" si="62"/>
        <v>0</v>
      </c>
      <c r="N102" s="3281"/>
      <c r="O102" s="1244"/>
    </row>
    <row r="103" spans="1:15" ht="13.5" customHeight="1" x14ac:dyDescent="0.2">
      <c r="A103" s="3132"/>
      <c r="B103" s="846" t="s">
        <v>16</v>
      </c>
      <c r="C103" s="25"/>
      <c r="D103" s="233">
        <f t="shared" ref="D103:I103" si="66">+D104+D106</f>
        <v>4751230</v>
      </c>
      <c r="E103" s="234">
        <f t="shared" si="66"/>
        <v>3957199</v>
      </c>
      <c r="F103" s="234">
        <f t="shared" si="66"/>
        <v>794031</v>
      </c>
      <c r="G103" s="234">
        <f t="shared" si="66"/>
        <v>0</v>
      </c>
      <c r="H103" s="241">
        <f t="shared" si="66"/>
        <v>0</v>
      </c>
      <c r="I103" s="233">
        <f t="shared" si="66"/>
        <v>4751204</v>
      </c>
      <c r="J103" s="1266">
        <f>I103/D103*100</f>
        <v>99.99945277328186</v>
      </c>
      <c r="K103" s="234">
        <f>+K104+K106</f>
        <v>0</v>
      </c>
      <c r="L103" s="979">
        <v>0</v>
      </c>
      <c r="M103" s="744">
        <f t="shared" si="62"/>
        <v>0</v>
      </c>
      <c r="N103" s="3188"/>
      <c r="O103" s="1244"/>
    </row>
    <row r="104" spans="1:15" ht="11.25" customHeight="1" x14ac:dyDescent="0.2">
      <c r="A104" s="3132"/>
      <c r="B104" s="849" t="s">
        <v>17</v>
      </c>
      <c r="C104" s="3208" t="s">
        <v>112</v>
      </c>
      <c r="D104" s="254">
        <f t="shared" ref="D104:I104" si="67">+D105</f>
        <v>651186</v>
      </c>
      <c r="E104" s="255">
        <f>+E105</f>
        <v>537088</v>
      </c>
      <c r="F104" s="255">
        <f t="shared" si="67"/>
        <v>114098</v>
      </c>
      <c r="G104" s="255">
        <f t="shared" si="67"/>
        <v>0</v>
      </c>
      <c r="H104" s="259">
        <f t="shared" si="67"/>
        <v>0</v>
      </c>
      <c r="I104" s="254">
        <f t="shared" si="67"/>
        <v>651182</v>
      </c>
      <c r="J104" s="1298">
        <f t="shared" ref="J104:J107" si="68">I104/D104*100</f>
        <v>99.999385736179832</v>
      </c>
      <c r="K104" s="255">
        <f>+K105</f>
        <v>0</v>
      </c>
      <c r="L104" s="944">
        <v>0</v>
      </c>
      <c r="M104" s="1343">
        <f t="shared" si="62"/>
        <v>0</v>
      </c>
      <c r="N104" s="3188"/>
      <c r="O104" s="1244"/>
    </row>
    <row r="105" spans="1:15" ht="11.25" customHeight="1" x14ac:dyDescent="0.2">
      <c r="A105" s="3132"/>
      <c r="B105" s="243" t="s">
        <v>7</v>
      </c>
      <c r="C105" s="3101"/>
      <c r="D105" s="244">
        <f>+E105+F105+G105+H105</f>
        <v>651186</v>
      </c>
      <c r="E105" s="779">
        <f>39327+169256+164195+164310</f>
        <v>537088</v>
      </c>
      <c r="F105" s="853">
        <v>114098</v>
      </c>
      <c r="G105" s="853">
        <v>0</v>
      </c>
      <c r="H105" s="1191">
        <v>0</v>
      </c>
      <c r="I105" s="244">
        <f>K105+E105+F105-4</f>
        <v>651182</v>
      </c>
      <c r="J105" s="1305">
        <f t="shared" si="68"/>
        <v>99.999385736179832</v>
      </c>
      <c r="K105" s="853">
        <v>0</v>
      </c>
      <c r="L105" s="1288">
        <v>0</v>
      </c>
      <c r="M105" s="1344">
        <f t="shared" si="62"/>
        <v>0</v>
      </c>
      <c r="N105" s="3188"/>
      <c r="O105" s="1244"/>
    </row>
    <row r="106" spans="1:15" ht="12" customHeight="1" x14ac:dyDescent="0.2">
      <c r="A106" s="3132"/>
      <c r="B106" s="852" t="s">
        <v>12</v>
      </c>
      <c r="C106" s="3209"/>
      <c r="D106" s="254">
        <f t="shared" ref="D106:I106" si="69">+D107</f>
        <v>4100044</v>
      </c>
      <c r="E106" s="255">
        <f t="shared" si="69"/>
        <v>3420111</v>
      </c>
      <c r="F106" s="255">
        <f t="shared" si="69"/>
        <v>679933</v>
      </c>
      <c r="G106" s="255">
        <f t="shared" si="69"/>
        <v>0</v>
      </c>
      <c r="H106" s="259">
        <f t="shared" si="69"/>
        <v>0</v>
      </c>
      <c r="I106" s="254">
        <f t="shared" si="69"/>
        <v>4100022</v>
      </c>
      <c r="J106" s="1298">
        <f t="shared" si="68"/>
        <v>99.999463420392559</v>
      </c>
      <c r="K106" s="255">
        <f>+K107</f>
        <v>0</v>
      </c>
      <c r="L106" s="944">
        <v>0</v>
      </c>
      <c r="M106" s="1343">
        <f t="shared" si="62"/>
        <v>0</v>
      </c>
      <c r="N106" s="3188"/>
      <c r="O106" s="1244"/>
    </row>
    <row r="107" spans="1:15" ht="11.25" customHeight="1" thickBot="1" x14ac:dyDescent="0.25">
      <c r="A107" s="3133"/>
      <c r="B107" s="828" t="s">
        <v>14</v>
      </c>
      <c r="C107" s="3210"/>
      <c r="D107" s="262">
        <f>+E107+F107+G107+H107</f>
        <v>4100044</v>
      </c>
      <c r="E107" s="263">
        <f>247610+1084861+1020318+1067322</f>
        <v>3420111</v>
      </c>
      <c r="F107" s="263">
        <v>679933</v>
      </c>
      <c r="G107" s="263">
        <v>0</v>
      </c>
      <c r="H107" s="265">
        <v>0</v>
      </c>
      <c r="I107" s="264">
        <f>K107+E107+F107-22</f>
        <v>4100022</v>
      </c>
      <c r="J107" s="1299">
        <f t="shared" si="68"/>
        <v>99.999463420392559</v>
      </c>
      <c r="K107" s="263">
        <v>0</v>
      </c>
      <c r="L107" s="1290">
        <v>0</v>
      </c>
      <c r="M107" s="1345">
        <f t="shared" si="62"/>
        <v>0</v>
      </c>
      <c r="N107" s="3189"/>
      <c r="O107" s="1244"/>
    </row>
    <row r="108" spans="1:15" ht="37.5" customHeight="1" x14ac:dyDescent="0.2">
      <c r="A108" s="3130" t="s">
        <v>46</v>
      </c>
      <c r="B108" s="831" t="s">
        <v>279</v>
      </c>
      <c r="C108" s="236" t="s">
        <v>171</v>
      </c>
      <c r="D108" s="237"/>
      <c r="E108" s="238"/>
      <c r="F108" s="238"/>
      <c r="G108" s="238"/>
      <c r="H108" s="240"/>
      <c r="I108" s="237"/>
      <c r="J108" s="238"/>
      <c r="K108" s="238"/>
      <c r="L108" s="238"/>
      <c r="M108" s="240"/>
      <c r="N108" s="3290" t="s">
        <v>103</v>
      </c>
      <c r="O108" s="1244"/>
    </row>
    <row r="109" spans="1:15" ht="13.5" customHeight="1" x14ac:dyDescent="0.2">
      <c r="A109" s="3131"/>
      <c r="B109" s="846" t="s">
        <v>2</v>
      </c>
      <c r="C109" s="25"/>
      <c r="D109" s="807">
        <f t="shared" ref="D109:I109" si="70">+D110+D113</f>
        <v>2599022</v>
      </c>
      <c r="E109" s="943">
        <f t="shared" ref="E109" si="71">+E110+E112</f>
        <v>0</v>
      </c>
      <c r="F109" s="1346">
        <f>+F110+F113</f>
        <v>408155</v>
      </c>
      <c r="G109" s="1346">
        <f t="shared" si="70"/>
        <v>1278911</v>
      </c>
      <c r="H109" s="811">
        <f t="shared" si="70"/>
        <v>911956</v>
      </c>
      <c r="I109" s="807">
        <f t="shared" si="70"/>
        <v>762372</v>
      </c>
      <c r="J109" s="1266">
        <f>I109/D109*100</f>
        <v>29.333033733458201</v>
      </c>
      <c r="K109" s="808">
        <f>+K110+K113</f>
        <v>360196</v>
      </c>
      <c r="L109" s="1266">
        <f>K109/G109*100</f>
        <v>28.164274136355072</v>
      </c>
      <c r="M109" s="1339">
        <f t="shared" ref="M109:M119" si="72">+K109-G109</f>
        <v>-918715</v>
      </c>
      <c r="N109" s="3281"/>
      <c r="O109" s="1244"/>
    </row>
    <row r="110" spans="1:15" ht="13.5" customHeight="1" x14ac:dyDescent="0.2">
      <c r="A110" s="3131"/>
      <c r="B110" s="849" t="s">
        <v>17</v>
      </c>
      <c r="C110" s="3100" t="s">
        <v>104</v>
      </c>
      <c r="D110" s="812">
        <f t="shared" ref="D110:I110" si="73">+D111+D112</f>
        <v>389857</v>
      </c>
      <c r="E110" s="944">
        <f t="shared" ref="E110" si="74">+E111</f>
        <v>0</v>
      </c>
      <c r="F110" s="851">
        <f>+F111+F112</f>
        <v>61224</v>
      </c>
      <c r="G110" s="851">
        <f t="shared" si="73"/>
        <v>191839</v>
      </c>
      <c r="H110" s="814">
        <f t="shared" si="73"/>
        <v>136794</v>
      </c>
      <c r="I110" s="812">
        <f t="shared" si="73"/>
        <v>114356</v>
      </c>
      <c r="J110" s="1293">
        <f t="shared" ref="J110:J114" si="75">I110/D110*100</f>
        <v>29.332806644487597</v>
      </c>
      <c r="K110" s="813">
        <f>+K111+K112</f>
        <v>54029</v>
      </c>
      <c r="L110" s="1298">
        <f t="shared" ref="L110:L114" si="76">K110/G110*100</f>
        <v>28.163720619894804</v>
      </c>
      <c r="M110" s="1340">
        <f t="shared" si="72"/>
        <v>-137810</v>
      </c>
      <c r="N110" s="3281"/>
      <c r="O110" s="1244"/>
    </row>
    <row r="111" spans="1:15" ht="13.5" customHeight="1" x14ac:dyDescent="0.2">
      <c r="A111" s="3131"/>
      <c r="B111" s="243" t="s">
        <v>4</v>
      </c>
      <c r="C111" s="3100"/>
      <c r="D111" s="244">
        <f>+E111+F111+G111+H111</f>
        <v>38988</v>
      </c>
      <c r="E111" s="260">
        <v>0</v>
      </c>
      <c r="F111" s="1347">
        <v>6123</v>
      </c>
      <c r="G111" s="1347">
        <v>19185</v>
      </c>
      <c r="H111" s="1341">
        <v>13680</v>
      </c>
      <c r="I111" s="246">
        <f>K111+E111+F111-90</f>
        <v>11436</v>
      </c>
      <c r="J111" s="1332">
        <f t="shared" si="75"/>
        <v>29.332102185287777</v>
      </c>
      <c r="K111" s="245">
        <v>5403</v>
      </c>
      <c r="L111" s="1305">
        <f t="shared" si="76"/>
        <v>28.162627052384675</v>
      </c>
      <c r="M111" s="1342">
        <f t="shared" si="72"/>
        <v>-13782</v>
      </c>
      <c r="N111" s="3281"/>
      <c r="O111" s="1244"/>
    </row>
    <row r="112" spans="1:15" ht="13.5" customHeight="1" x14ac:dyDescent="0.2">
      <c r="A112" s="3131"/>
      <c r="B112" s="243" t="s">
        <v>7</v>
      </c>
      <c r="C112" s="3100"/>
      <c r="D112" s="244">
        <f>+E112+F112+G112+H112</f>
        <v>350869</v>
      </c>
      <c r="E112" s="257">
        <f t="shared" ref="E112" si="77">+E113</f>
        <v>0</v>
      </c>
      <c r="F112" s="1347">
        <v>55101</v>
      </c>
      <c r="G112" s="1347">
        <v>172654</v>
      </c>
      <c r="H112" s="281">
        <v>123114</v>
      </c>
      <c r="I112" s="246">
        <f>K112+E112+F112-807</f>
        <v>102920</v>
      </c>
      <c r="J112" s="1332">
        <f t="shared" si="75"/>
        <v>29.332884922862952</v>
      </c>
      <c r="K112" s="245">
        <v>48626</v>
      </c>
      <c r="L112" s="1305">
        <f t="shared" si="76"/>
        <v>28.16384213513733</v>
      </c>
      <c r="M112" s="1342">
        <f t="shared" si="72"/>
        <v>-124028</v>
      </c>
      <c r="N112" s="3281"/>
      <c r="O112" s="1244"/>
    </row>
    <row r="113" spans="1:15" ht="13.5" customHeight="1" x14ac:dyDescent="0.2">
      <c r="A113" s="3131"/>
      <c r="B113" s="852" t="s">
        <v>12</v>
      </c>
      <c r="C113" s="3100"/>
      <c r="D113" s="254">
        <f t="shared" ref="D113:I113" si="78">+D114</f>
        <v>2209165</v>
      </c>
      <c r="E113" s="260">
        <v>0</v>
      </c>
      <c r="F113" s="1348">
        <f t="shared" si="78"/>
        <v>346931</v>
      </c>
      <c r="G113" s="1348">
        <f t="shared" si="78"/>
        <v>1087072</v>
      </c>
      <c r="H113" s="259">
        <f t="shared" si="78"/>
        <v>775162</v>
      </c>
      <c r="I113" s="254">
        <f t="shared" si="78"/>
        <v>648016</v>
      </c>
      <c r="J113" s="1293">
        <f t="shared" si="75"/>
        <v>29.333073808429884</v>
      </c>
      <c r="K113" s="255">
        <f>+K114</f>
        <v>306167</v>
      </c>
      <c r="L113" s="1298">
        <f t="shared" si="76"/>
        <v>28.164371817138147</v>
      </c>
      <c r="M113" s="1343">
        <f t="shared" si="72"/>
        <v>-780905</v>
      </c>
      <c r="N113" s="3281"/>
      <c r="O113" s="1244"/>
    </row>
    <row r="114" spans="1:15" ht="13.5" customHeight="1" x14ac:dyDescent="0.2">
      <c r="A114" s="3131"/>
      <c r="B114" s="243" t="s">
        <v>14</v>
      </c>
      <c r="C114" s="3100"/>
      <c r="D114" s="244">
        <f>+E114+F114+G114+H114</f>
        <v>2209165</v>
      </c>
      <c r="E114" s="260">
        <v>0</v>
      </c>
      <c r="F114" s="1347">
        <v>346931</v>
      </c>
      <c r="G114" s="1347">
        <v>1087072</v>
      </c>
      <c r="H114" s="281">
        <v>775162</v>
      </c>
      <c r="I114" s="246">
        <f>K114+E114+F114-5082</f>
        <v>648016</v>
      </c>
      <c r="J114" s="1332">
        <f t="shared" si="75"/>
        <v>29.333073808429884</v>
      </c>
      <c r="K114" s="779">
        <v>306167</v>
      </c>
      <c r="L114" s="1305">
        <f t="shared" si="76"/>
        <v>28.164371817138147</v>
      </c>
      <c r="M114" s="1342">
        <f t="shared" si="72"/>
        <v>-780905</v>
      </c>
      <c r="N114" s="3281"/>
      <c r="O114" s="1244"/>
    </row>
    <row r="115" spans="1:15" ht="13.5" customHeight="1" x14ac:dyDescent="0.2">
      <c r="A115" s="3131"/>
      <c r="B115" s="846" t="s">
        <v>16</v>
      </c>
      <c r="C115" s="25"/>
      <c r="D115" s="233">
        <f t="shared" ref="D115:I115" si="79">+D116+D118</f>
        <v>2560034</v>
      </c>
      <c r="E115" s="287">
        <f t="shared" si="79"/>
        <v>0</v>
      </c>
      <c r="F115" s="234">
        <f t="shared" si="79"/>
        <v>402032</v>
      </c>
      <c r="G115" s="234">
        <f t="shared" si="79"/>
        <v>1259726</v>
      </c>
      <c r="H115" s="241">
        <f t="shared" si="79"/>
        <v>898276</v>
      </c>
      <c r="I115" s="233">
        <f t="shared" si="79"/>
        <v>951226</v>
      </c>
      <c r="J115" s="1266">
        <f>I115/D115*100</f>
        <v>37.156772136620056</v>
      </c>
      <c r="K115" s="234">
        <f>+K116+K118</f>
        <v>550001</v>
      </c>
      <c r="L115" s="1266">
        <f>K115/G115*100</f>
        <v>43.660367413231135</v>
      </c>
      <c r="M115" s="744">
        <f t="shared" si="72"/>
        <v>-709725</v>
      </c>
      <c r="N115" s="3281"/>
      <c r="O115" s="1244"/>
    </row>
    <row r="116" spans="1:15" ht="13.5" customHeight="1" x14ac:dyDescent="0.2">
      <c r="A116" s="3131"/>
      <c r="B116" s="849" t="s">
        <v>17</v>
      </c>
      <c r="C116" s="3208" t="s">
        <v>112</v>
      </c>
      <c r="D116" s="254">
        <f t="shared" ref="D116:I116" si="80">+D117</f>
        <v>350869</v>
      </c>
      <c r="E116" s="257">
        <f t="shared" si="80"/>
        <v>0</v>
      </c>
      <c r="F116" s="255">
        <f t="shared" si="80"/>
        <v>55101</v>
      </c>
      <c r="G116" s="255">
        <f t="shared" si="80"/>
        <v>172654</v>
      </c>
      <c r="H116" s="259">
        <f t="shared" si="80"/>
        <v>123114</v>
      </c>
      <c r="I116" s="254">
        <f t="shared" si="80"/>
        <v>129675</v>
      </c>
      <c r="J116" s="1293">
        <f t="shared" ref="J116:J119" si="81">I116/D116*100</f>
        <v>36.958237974856715</v>
      </c>
      <c r="K116" s="255">
        <f>+K117</f>
        <v>75381</v>
      </c>
      <c r="L116" s="1298">
        <f t="shared" ref="L116:L119" si="82">K116/G116*100</f>
        <v>43.660152675292778</v>
      </c>
      <c r="M116" s="1343">
        <f t="shared" si="72"/>
        <v>-97273</v>
      </c>
      <c r="N116" s="3281"/>
      <c r="O116" s="1244"/>
    </row>
    <row r="117" spans="1:15" ht="13.5" customHeight="1" x14ac:dyDescent="0.2">
      <c r="A117" s="3131"/>
      <c r="B117" s="243" t="s">
        <v>7</v>
      </c>
      <c r="C117" s="3208"/>
      <c r="D117" s="244">
        <f>+E117+F117+G117+H117</f>
        <v>350869</v>
      </c>
      <c r="E117" s="260">
        <v>0</v>
      </c>
      <c r="F117" s="853">
        <v>55101</v>
      </c>
      <c r="G117" s="853">
        <v>172654</v>
      </c>
      <c r="H117" s="1191">
        <v>123114</v>
      </c>
      <c r="I117" s="244">
        <f>K117+E117+F117-807</f>
        <v>129675</v>
      </c>
      <c r="J117" s="1332">
        <f t="shared" si="81"/>
        <v>36.958237974856715</v>
      </c>
      <c r="K117" s="853">
        <v>75381</v>
      </c>
      <c r="L117" s="1305">
        <f t="shared" si="82"/>
        <v>43.660152675292778</v>
      </c>
      <c r="M117" s="1344">
        <f t="shared" si="72"/>
        <v>-97273</v>
      </c>
      <c r="N117" s="3281"/>
      <c r="O117" s="1244"/>
    </row>
    <row r="118" spans="1:15" ht="13.5" customHeight="1" x14ac:dyDescent="0.2">
      <c r="A118" s="3131"/>
      <c r="B118" s="852" t="s">
        <v>12</v>
      </c>
      <c r="C118" s="3208"/>
      <c r="D118" s="254">
        <f t="shared" ref="D118:I118" si="83">+D119</f>
        <v>2209165</v>
      </c>
      <c r="E118" s="257">
        <f t="shared" si="83"/>
        <v>0</v>
      </c>
      <c r="F118" s="255">
        <f t="shared" si="83"/>
        <v>346931</v>
      </c>
      <c r="G118" s="255">
        <f t="shared" si="83"/>
        <v>1087072</v>
      </c>
      <c r="H118" s="259">
        <f t="shared" si="83"/>
        <v>775162</v>
      </c>
      <c r="I118" s="254">
        <f t="shared" si="83"/>
        <v>821551</v>
      </c>
      <c r="J118" s="1293">
        <f t="shared" si="81"/>
        <v>37.188304178275501</v>
      </c>
      <c r="K118" s="255">
        <f>+K119</f>
        <v>474620</v>
      </c>
      <c r="L118" s="1298">
        <f t="shared" si="82"/>
        <v>43.660401518942628</v>
      </c>
      <c r="M118" s="1343">
        <f t="shared" si="72"/>
        <v>-612452</v>
      </c>
      <c r="N118" s="3281"/>
      <c r="O118" s="1244"/>
    </row>
    <row r="119" spans="1:15" ht="13.5" customHeight="1" thickBot="1" x14ac:dyDescent="0.25">
      <c r="A119" s="3205"/>
      <c r="B119" s="828" t="s">
        <v>14</v>
      </c>
      <c r="C119" s="3307"/>
      <c r="D119" s="262">
        <f>+E119+F119+G119+H119</f>
        <v>2209165</v>
      </c>
      <c r="E119" s="819">
        <v>0</v>
      </c>
      <c r="F119" s="263">
        <v>346931</v>
      </c>
      <c r="G119" s="263">
        <v>1087072</v>
      </c>
      <c r="H119" s="265">
        <v>775162</v>
      </c>
      <c r="I119" s="264">
        <f>K119+E119+F119</f>
        <v>821551</v>
      </c>
      <c r="J119" s="1349">
        <f t="shared" si="81"/>
        <v>37.188304178275501</v>
      </c>
      <c r="K119" s="263">
        <v>474620</v>
      </c>
      <c r="L119" s="1299">
        <f t="shared" si="82"/>
        <v>43.660401518942628</v>
      </c>
      <c r="M119" s="1345">
        <f t="shared" si="72"/>
        <v>-612452</v>
      </c>
      <c r="N119" s="3291"/>
      <c r="O119" s="1244"/>
    </row>
    <row r="120" spans="1:15" ht="37.5" customHeight="1" x14ac:dyDescent="0.2">
      <c r="A120" s="3130" t="s">
        <v>48</v>
      </c>
      <c r="B120" s="831" t="s">
        <v>369</v>
      </c>
      <c r="C120" s="236" t="s">
        <v>171</v>
      </c>
      <c r="D120" s="237"/>
      <c r="E120" s="238"/>
      <c r="F120" s="238"/>
      <c r="G120" s="238"/>
      <c r="H120" s="240"/>
      <c r="I120" s="237"/>
      <c r="J120" s="238"/>
      <c r="K120" s="238"/>
      <c r="L120" s="238"/>
      <c r="M120" s="240"/>
      <c r="N120" s="3290" t="s">
        <v>103</v>
      </c>
      <c r="O120" s="1244"/>
    </row>
    <row r="121" spans="1:15" ht="13.5" customHeight="1" x14ac:dyDescent="0.2">
      <c r="A121" s="3131"/>
      <c r="B121" s="846" t="s">
        <v>2</v>
      </c>
      <c r="C121" s="25"/>
      <c r="D121" s="1189">
        <f>+D122+D124</f>
        <v>13038694</v>
      </c>
      <c r="E121" s="943">
        <f t="shared" ref="E121:L121" si="84">+E122+E124</f>
        <v>0</v>
      </c>
      <c r="F121" s="943">
        <f t="shared" si="84"/>
        <v>0</v>
      </c>
      <c r="G121" s="808">
        <f t="shared" si="84"/>
        <v>8885692</v>
      </c>
      <c r="H121" s="1346">
        <f t="shared" si="84"/>
        <v>4153002</v>
      </c>
      <c r="I121" s="807">
        <f t="shared" si="84"/>
        <v>0</v>
      </c>
      <c r="J121" s="1336">
        <f t="shared" ref="J121:J126" si="85">I121/D121*100</f>
        <v>0</v>
      </c>
      <c r="K121" s="808">
        <f t="shared" si="84"/>
        <v>0</v>
      </c>
      <c r="L121" s="1346">
        <f t="shared" si="84"/>
        <v>0</v>
      </c>
      <c r="M121" s="1339">
        <f t="shared" ref="M121:M128" si="86">+K121-G121</f>
        <v>-8885692</v>
      </c>
      <c r="N121" s="3281"/>
      <c r="O121" s="1244"/>
    </row>
    <row r="122" spans="1:15" ht="13.5" customHeight="1" x14ac:dyDescent="0.2">
      <c r="A122" s="3131"/>
      <c r="B122" s="849" t="s">
        <v>17</v>
      </c>
      <c r="C122" s="3100" t="s">
        <v>104</v>
      </c>
      <c r="D122" s="833">
        <f>+D123</f>
        <v>279860</v>
      </c>
      <c r="E122" s="944">
        <f t="shared" ref="E122:L122" si="87">+E123</f>
        <v>0</v>
      </c>
      <c r="F122" s="944">
        <f t="shared" si="87"/>
        <v>0</v>
      </c>
      <c r="G122" s="813">
        <f t="shared" si="87"/>
        <v>153089</v>
      </c>
      <c r="H122" s="851">
        <f t="shared" si="87"/>
        <v>126771</v>
      </c>
      <c r="I122" s="812">
        <f t="shared" si="87"/>
        <v>0</v>
      </c>
      <c r="J122" s="1337">
        <f t="shared" si="85"/>
        <v>0</v>
      </c>
      <c r="K122" s="813">
        <f t="shared" si="87"/>
        <v>0</v>
      </c>
      <c r="L122" s="851">
        <f t="shared" si="87"/>
        <v>0</v>
      </c>
      <c r="M122" s="1340">
        <f t="shared" si="86"/>
        <v>-153089</v>
      </c>
      <c r="N122" s="3281"/>
      <c r="O122" s="1244"/>
    </row>
    <row r="123" spans="1:15" ht="13.5" customHeight="1" x14ac:dyDescent="0.2">
      <c r="A123" s="3131"/>
      <c r="B123" s="243" t="s">
        <v>4</v>
      </c>
      <c r="C123" s="3100"/>
      <c r="D123" s="1190">
        <f>+E123+F123+G123+H123</f>
        <v>279860</v>
      </c>
      <c r="E123" s="260">
        <v>0</v>
      </c>
      <c r="F123" s="260">
        <v>0</v>
      </c>
      <c r="G123" s="245">
        <v>153089</v>
      </c>
      <c r="H123" s="1341">
        <v>126771</v>
      </c>
      <c r="I123" s="246">
        <f>K123+E123+F123</f>
        <v>0</v>
      </c>
      <c r="J123" s="1338">
        <f t="shared" si="85"/>
        <v>0</v>
      </c>
      <c r="K123" s="245">
        <v>0</v>
      </c>
      <c r="L123" s="1350">
        <f t="shared" ref="L123:L125" si="88">K123/G123*100</f>
        <v>0</v>
      </c>
      <c r="M123" s="1342">
        <f t="shared" si="86"/>
        <v>-153089</v>
      </c>
      <c r="N123" s="3281"/>
      <c r="O123" s="1244"/>
    </row>
    <row r="124" spans="1:15" ht="13.5" customHeight="1" x14ac:dyDescent="0.2">
      <c r="A124" s="3131"/>
      <c r="B124" s="852" t="s">
        <v>12</v>
      </c>
      <c r="C124" s="3100"/>
      <c r="D124" s="1351">
        <f t="shared" ref="D124:I124" si="89">+D125</f>
        <v>12758834</v>
      </c>
      <c r="E124" s="257">
        <f t="shared" si="89"/>
        <v>0</v>
      </c>
      <c r="F124" s="257">
        <f t="shared" si="89"/>
        <v>0</v>
      </c>
      <c r="G124" s="255">
        <f t="shared" si="89"/>
        <v>8732603</v>
      </c>
      <c r="H124" s="1343">
        <f t="shared" si="89"/>
        <v>4026231</v>
      </c>
      <c r="I124" s="1351">
        <f t="shared" si="89"/>
        <v>0</v>
      </c>
      <c r="J124" s="1337">
        <f t="shared" si="85"/>
        <v>0</v>
      </c>
      <c r="K124" s="255">
        <f>+K125</f>
        <v>0</v>
      </c>
      <c r="L124" s="1352">
        <f t="shared" si="88"/>
        <v>0</v>
      </c>
      <c r="M124" s="1343">
        <f t="shared" si="86"/>
        <v>-8732603</v>
      </c>
      <c r="N124" s="3281"/>
      <c r="O124" s="1244"/>
    </row>
    <row r="125" spans="1:15" ht="13.5" customHeight="1" x14ac:dyDescent="0.2">
      <c r="A125" s="3131"/>
      <c r="B125" s="243" t="s">
        <v>14</v>
      </c>
      <c r="C125" s="3100"/>
      <c r="D125" s="1190">
        <f>+E125+F125+G125+H125</f>
        <v>12758834</v>
      </c>
      <c r="E125" s="260">
        <v>0</v>
      </c>
      <c r="F125" s="260">
        <v>0</v>
      </c>
      <c r="G125" s="245">
        <v>8732603</v>
      </c>
      <c r="H125" s="1341">
        <v>4026231</v>
      </c>
      <c r="I125" s="246">
        <f>K125+E125+F125</f>
        <v>0</v>
      </c>
      <c r="J125" s="1338">
        <f t="shared" si="85"/>
        <v>0</v>
      </c>
      <c r="K125" s="779">
        <v>0</v>
      </c>
      <c r="L125" s="1350">
        <f t="shared" si="88"/>
        <v>0</v>
      </c>
      <c r="M125" s="1342">
        <f t="shared" si="86"/>
        <v>-8732603</v>
      </c>
      <c r="N125" s="3281"/>
      <c r="O125" s="1244"/>
    </row>
    <row r="126" spans="1:15" ht="13.5" customHeight="1" x14ac:dyDescent="0.2">
      <c r="A126" s="3131"/>
      <c r="B126" s="846" t="s">
        <v>16</v>
      </c>
      <c r="C126" s="25"/>
      <c r="D126" s="770">
        <f>+D127</f>
        <v>12758834</v>
      </c>
      <c r="E126" s="287">
        <f t="shared" ref="E126:L126" si="90">+E127</f>
        <v>0</v>
      </c>
      <c r="F126" s="287">
        <f t="shared" si="90"/>
        <v>0</v>
      </c>
      <c r="G126" s="234">
        <f t="shared" si="90"/>
        <v>8732603</v>
      </c>
      <c r="H126" s="742">
        <f t="shared" si="90"/>
        <v>4026231</v>
      </c>
      <c r="I126" s="233">
        <f t="shared" si="90"/>
        <v>0</v>
      </c>
      <c r="J126" s="1336">
        <f t="shared" si="85"/>
        <v>0</v>
      </c>
      <c r="K126" s="234">
        <f t="shared" si="90"/>
        <v>0</v>
      </c>
      <c r="L126" s="742">
        <f t="shared" si="90"/>
        <v>0</v>
      </c>
      <c r="M126" s="744">
        <f t="shared" si="86"/>
        <v>-8732603</v>
      </c>
      <c r="N126" s="3281"/>
      <c r="O126" s="1244"/>
    </row>
    <row r="127" spans="1:15" ht="13.5" customHeight="1" x14ac:dyDescent="0.2">
      <c r="A127" s="3131"/>
      <c r="B127" s="852" t="s">
        <v>12</v>
      </c>
      <c r="C127" s="3208"/>
      <c r="D127" s="254">
        <f t="shared" ref="D127:I127" si="91">+D128</f>
        <v>12758834</v>
      </c>
      <c r="E127" s="257">
        <f t="shared" si="91"/>
        <v>0</v>
      </c>
      <c r="F127" s="257">
        <f t="shared" si="91"/>
        <v>0</v>
      </c>
      <c r="G127" s="255">
        <f t="shared" si="91"/>
        <v>8732603</v>
      </c>
      <c r="H127" s="259">
        <f t="shared" si="91"/>
        <v>4026231</v>
      </c>
      <c r="I127" s="254">
        <f t="shared" si="91"/>
        <v>0</v>
      </c>
      <c r="J127" s="1337">
        <f t="shared" ref="J127:J128" si="92">I127/D127*100</f>
        <v>0</v>
      </c>
      <c r="K127" s="255">
        <f>+K128</f>
        <v>0</v>
      </c>
      <c r="L127" s="1352">
        <f t="shared" ref="L127:L128" si="93">K127/G127*100</f>
        <v>0</v>
      </c>
      <c r="M127" s="1343">
        <f t="shared" si="86"/>
        <v>-8732603</v>
      </c>
      <c r="N127" s="3281"/>
      <c r="O127" s="1244"/>
    </row>
    <row r="128" spans="1:15" ht="13.5" customHeight="1" thickBot="1" x14ac:dyDescent="0.25">
      <c r="A128" s="3205"/>
      <c r="B128" s="828" t="s">
        <v>14</v>
      </c>
      <c r="C128" s="3307"/>
      <c r="D128" s="262">
        <f>+E128+F128+G128+H128</f>
        <v>12758834</v>
      </c>
      <c r="E128" s="819">
        <v>0</v>
      </c>
      <c r="F128" s="818">
        <v>0</v>
      </c>
      <c r="G128" s="263">
        <v>8732603</v>
      </c>
      <c r="H128" s="265">
        <v>4026231</v>
      </c>
      <c r="I128" s="264">
        <f>K128+E128+F128</f>
        <v>0</v>
      </c>
      <c r="J128" s="1332">
        <f t="shared" si="92"/>
        <v>0</v>
      </c>
      <c r="K128" s="263">
        <v>0</v>
      </c>
      <c r="L128" s="1299">
        <f t="shared" si="93"/>
        <v>0</v>
      </c>
      <c r="M128" s="1345">
        <f t="shared" si="86"/>
        <v>-8732603</v>
      </c>
      <c r="N128" s="3291"/>
      <c r="O128" s="1244"/>
    </row>
    <row r="129" spans="1:25" ht="27.75" customHeight="1" x14ac:dyDescent="0.2">
      <c r="A129" s="3130" t="s">
        <v>50</v>
      </c>
      <c r="B129" s="831" t="s">
        <v>236</v>
      </c>
      <c r="C129" s="236" t="s">
        <v>171</v>
      </c>
      <c r="D129" s="237"/>
      <c r="E129" s="238"/>
      <c r="F129" s="238"/>
      <c r="G129" s="238"/>
      <c r="H129" s="240"/>
      <c r="I129" s="237"/>
      <c r="J129" s="238"/>
      <c r="K129" s="238"/>
      <c r="L129" s="238"/>
      <c r="M129" s="240"/>
      <c r="N129" s="3290" t="s">
        <v>103</v>
      </c>
      <c r="O129" s="1244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</row>
    <row r="130" spans="1:25" ht="13.5" customHeight="1" x14ac:dyDescent="0.2">
      <c r="A130" s="3131"/>
      <c r="B130" s="846" t="s">
        <v>2</v>
      </c>
      <c r="C130" s="25"/>
      <c r="D130" s="807">
        <f t="shared" ref="D130:I130" si="94">+D131+D134</f>
        <v>5944352</v>
      </c>
      <c r="E130" s="808">
        <f t="shared" si="94"/>
        <v>4349732</v>
      </c>
      <c r="F130" s="808">
        <f t="shared" si="94"/>
        <v>957000</v>
      </c>
      <c r="G130" s="808">
        <f t="shared" si="94"/>
        <v>637620</v>
      </c>
      <c r="H130" s="811">
        <f t="shared" si="94"/>
        <v>0</v>
      </c>
      <c r="I130" s="807">
        <f t="shared" si="94"/>
        <v>5426467</v>
      </c>
      <c r="J130" s="1266">
        <f>I130/D130*100</f>
        <v>91.28778040062231</v>
      </c>
      <c r="K130" s="808">
        <f>+K131+K134</f>
        <v>159316</v>
      </c>
      <c r="L130" s="1266">
        <f>K130/G130*100</f>
        <v>24.986041843104044</v>
      </c>
      <c r="M130" s="811">
        <f>+K130-G130</f>
        <v>-478304</v>
      </c>
      <c r="N130" s="3281"/>
      <c r="O130" s="1244"/>
    </row>
    <row r="131" spans="1:25" ht="12.75" customHeight="1" x14ac:dyDescent="0.2">
      <c r="A131" s="3131"/>
      <c r="B131" s="849" t="s">
        <v>17</v>
      </c>
      <c r="C131" s="3100" t="s">
        <v>117</v>
      </c>
      <c r="D131" s="812">
        <f t="shared" ref="D131:I131" si="95">+D132+D133</f>
        <v>891655</v>
      </c>
      <c r="E131" s="813">
        <f t="shared" si="95"/>
        <v>652462</v>
      </c>
      <c r="F131" s="813">
        <f t="shared" si="95"/>
        <v>143550</v>
      </c>
      <c r="G131" s="813">
        <f t="shared" si="95"/>
        <v>95643</v>
      </c>
      <c r="H131" s="814">
        <f t="shared" si="95"/>
        <v>0</v>
      </c>
      <c r="I131" s="812">
        <f t="shared" si="95"/>
        <v>813986</v>
      </c>
      <c r="J131" s="1298">
        <f t="shared" ref="J131:J140" si="96">I131/D131*100</f>
        <v>91.289343972724879</v>
      </c>
      <c r="K131" s="813">
        <f>+K132+K133</f>
        <v>23911</v>
      </c>
      <c r="L131" s="1298">
        <f t="shared" ref="L131:L140" si="97">K131/G131*100</f>
        <v>25.000261388705919</v>
      </c>
      <c r="M131" s="814">
        <f>+K131-G131</f>
        <v>-71732</v>
      </c>
      <c r="N131" s="3281"/>
      <c r="O131" s="1244"/>
    </row>
    <row r="132" spans="1:25" ht="13.5" hidden="1" customHeight="1" x14ac:dyDescent="0.2">
      <c r="A132" s="3131"/>
      <c r="B132" s="243" t="s">
        <v>4</v>
      </c>
      <c r="C132" s="3101"/>
      <c r="D132" s="244">
        <f>+E132+F132+G132+H132</f>
        <v>0</v>
      </c>
      <c r="E132" s="779">
        <v>0</v>
      </c>
      <c r="F132" s="245"/>
      <c r="G132" s="245"/>
      <c r="H132" s="281"/>
      <c r="I132" s="246"/>
      <c r="J132" s="1305" t="e">
        <f t="shared" si="96"/>
        <v>#DIV/0!</v>
      </c>
      <c r="K132" s="779"/>
      <c r="L132" s="1305" t="e">
        <f t="shared" si="97"/>
        <v>#DIV/0!</v>
      </c>
      <c r="M132" s="247">
        <f t="shared" ref="M132" si="98">+K132-G132*0.5</f>
        <v>0</v>
      </c>
      <c r="N132" s="3281"/>
      <c r="O132" s="1244"/>
    </row>
    <row r="133" spans="1:25" ht="13.5" customHeight="1" x14ac:dyDescent="0.2">
      <c r="A133" s="3131"/>
      <c r="B133" s="243" t="s">
        <v>7</v>
      </c>
      <c r="C133" s="3101"/>
      <c r="D133" s="244">
        <f>+E133+F133+G133+H133</f>
        <v>891655</v>
      </c>
      <c r="E133" s="779">
        <f>201703+175332+138249+137178</f>
        <v>652462</v>
      </c>
      <c r="F133" s="245">
        <v>143550</v>
      </c>
      <c r="G133" s="245">
        <v>95643</v>
      </c>
      <c r="H133" s="281">
        <v>0</v>
      </c>
      <c r="I133" s="246">
        <f>K133+E133+F133-5937</f>
        <v>813986</v>
      </c>
      <c r="J133" s="1305">
        <f t="shared" si="96"/>
        <v>91.289343972724879</v>
      </c>
      <c r="K133" s="779">
        <v>23911</v>
      </c>
      <c r="L133" s="1305">
        <f t="shared" si="97"/>
        <v>25.000261388705919</v>
      </c>
      <c r="M133" s="247">
        <f t="shared" ref="M133:M140" si="99">+K133-G133</f>
        <v>-71732</v>
      </c>
      <c r="N133" s="3281"/>
      <c r="O133" s="1244"/>
    </row>
    <row r="134" spans="1:25" ht="12.75" customHeight="1" x14ac:dyDescent="0.2">
      <c r="A134" s="3131"/>
      <c r="B134" s="852" t="s">
        <v>12</v>
      </c>
      <c r="C134" s="3101"/>
      <c r="D134" s="254">
        <f t="shared" ref="D134:I134" si="100">+D135</f>
        <v>5052697</v>
      </c>
      <c r="E134" s="255">
        <f t="shared" si="100"/>
        <v>3697270</v>
      </c>
      <c r="F134" s="255">
        <f t="shared" si="100"/>
        <v>813450</v>
      </c>
      <c r="G134" s="255">
        <f t="shared" si="100"/>
        <v>541977</v>
      </c>
      <c r="H134" s="259">
        <f t="shared" si="100"/>
        <v>0</v>
      </c>
      <c r="I134" s="254">
        <f t="shared" si="100"/>
        <v>4612481</v>
      </c>
      <c r="J134" s="1298">
        <f t="shared" si="96"/>
        <v>91.287504475332682</v>
      </c>
      <c r="K134" s="255">
        <f>+K135</f>
        <v>135405</v>
      </c>
      <c r="L134" s="1298">
        <f t="shared" si="97"/>
        <v>24.983532511527244</v>
      </c>
      <c r="M134" s="259">
        <f t="shared" si="99"/>
        <v>-406572</v>
      </c>
      <c r="N134" s="3281"/>
      <c r="O134" s="1244"/>
    </row>
    <row r="135" spans="1:25" ht="12" customHeight="1" x14ac:dyDescent="0.2">
      <c r="A135" s="3131"/>
      <c r="B135" s="243" t="s">
        <v>14</v>
      </c>
      <c r="C135" s="3101"/>
      <c r="D135" s="244">
        <f>+E135+F135+G135+H135</f>
        <v>5052697</v>
      </c>
      <c r="E135" s="779">
        <f>1142978+993543+783410+777339</f>
        <v>3697270</v>
      </c>
      <c r="F135" s="245">
        <v>813450</v>
      </c>
      <c r="G135" s="245">
        <v>541977</v>
      </c>
      <c r="H135" s="281">
        <v>0</v>
      </c>
      <c r="I135" s="246">
        <f>K135+E135+F135-33644</f>
        <v>4612481</v>
      </c>
      <c r="J135" s="1305">
        <f t="shared" si="96"/>
        <v>91.287504475332682</v>
      </c>
      <c r="K135" s="779">
        <v>135405</v>
      </c>
      <c r="L135" s="1305">
        <f t="shared" si="97"/>
        <v>24.983532511527244</v>
      </c>
      <c r="M135" s="247">
        <f t="shared" si="99"/>
        <v>-406572</v>
      </c>
      <c r="N135" s="3281"/>
      <c r="O135" s="1244"/>
    </row>
    <row r="136" spans="1:25" ht="13.5" customHeight="1" x14ac:dyDescent="0.2">
      <c r="A136" s="3132"/>
      <c r="B136" s="846" t="s">
        <v>16</v>
      </c>
      <c r="C136" s="25"/>
      <c r="D136" s="233">
        <f t="shared" ref="D136:I136" si="101">+D137+D139</f>
        <v>5944352</v>
      </c>
      <c r="E136" s="234">
        <f t="shared" si="101"/>
        <v>4349732</v>
      </c>
      <c r="F136" s="234">
        <f t="shared" si="101"/>
        <v>957000</v>
      </c>
      <c r="G136" s="234">
        <f t="shared" si="101"/>
        <v>637620</v>
      </c>
      <c r="H136" s="241">
        <f t="shared" si="101"/>
        <v>0</v>
      </c>
      <c r="I136" s="233">
        <f t="shared" si="101"/>
        <v>5426556</v>
      </c>
      <c r="J136" s="1266">
        <f t="shared" si="96"/>
        <v>91.289277620167852</v>
      </c>
      <c r="K136" s="234">
        <f>+K137+K139</f>
        <v>159405</v>
      </c>
      <c r="L136" s="1266">
        <f t="shared" si="97"/>
        <v>25</v>
      </c>
      <c r="M136" s="241">
        <f t="shared" si="99"/>
        <v>-478215</v>
      </c>
      <c r="N136" s="3281"/>
      <c r="O136" s="1244"/>
    </row>
    <row r="137" spans="1:25" ht="13.5" customHeight="1" thickBot="1" x14ac:dyDescent="0.25">
      <c r="A137" s="3133"/>
      <c r="B137" s="849" t="s">
        <v>17</v>
      </c>
      <c r="C137" s="3312" t="s">
        <v>118</v>
      </c>
      <c r="D137" s="254">
        <f t="shared" ref="D137:I137" si="102">+D138</f>
        <v>891655</v>
      </c>
      <c r="E137" s="255">
        <f t="shared" si="102"/>
        <v>652462</v>
      </c>
      <c r="F137" s="255">
        <f t="shared" si="102"/>
        <v>143550</v>
      </c>
      <c r="G137" s="255">
        <f t="shared" si="102"/>
        <v>95643</v>
      </c>
      <c r="H137" s="259">
        <f t="shared" si="102"/>
        <v>0</v>
      </c>
      <c r="I137" s="254">
        <f t="shared" si="102"/>
        <v>813986</v>
      </c>
      <c r="J137" s="1298">
        <f t="shared" si="96"/>
        <v>91.289343972724879</v>
      </c>
      <c r="K137" s="255">
        <f>+K138</f>
        <v>23911</v>
      </c>
      <c r="L137" s="1298">
        <f t="shared" si="97"/>
        <v>25.000261388705919</v>
      </c>
      <c r="M137" s="259">
        <f t="shared" si="99"/>
        <v>-71732</v>
      </c>
      <c r="N137" s="3291"/>
      <c r="O137" s="1244"/>
    </row>
    <row r="138" spans="1:25" ht="13.5" customHeight="1" x14ac:dyDescent="0.2">
      <c r="A138" s="3220"/>
      <c r="B138" s="243" t="s">
        <v>7</v>
      </c>
      <c r="C138" s="3316"/>
      <c r="D138" s="244">
        <f>+E138+F138+G138+H138</f>
        <v>891655</v>
      </c>
      <c r="E138" s="779">
        <f>201703+175332+138249+137178</f>
        <v>652462</v>
      </c>
      <c r="F138" s="245">
        <v>143550</v>
      </c>
      <c r="G138" s="245">
        <v>95643</v>
      </c>
      <c r="H138" s="281">
        <v>0</v>
      </c>
      <c r="I138" s="244">
        <f>K138+E138+F138-5937</f>
        <v>813986</v>
      </c>
      <c r="J138" s="1305">
        <f t="shared" si="96"/>
        <v>91.289343972724879</v>
      </c>
      <c r="K138" s="853">
        <v>23911</v>
      </c>
      <c r="L138" s="1305">
        <f t="shared" si="97"/>
        <v>25.000261388705919</v>
      </c>
      <c r="M138" s="1191">
        <f t="shared" si="99"/>
        <v>-71732</v>
      </c>
      <c r="N138" s="3290"/>
      <c r="O138" s="1244"/>
    </row>
    <row r="139" spans="1:25" ht="12" customHeight="1" x14ac:dyDescent="0.2">
      <c r="A139" s="3132"/>
      <c r="B139" s="852" t="s">
        <v>12</v>
      </c>
      <c r="C139" s="3209"/>
      <c r="D139" s="254">
        <f t="shared" ref="D139:I139" si="103">+D140</f>
        <v>5052697</v>
      </c>
      <c r="E139" s="255">
        <f t="shared" si="103"/>
        <v>3697270</v>
      </c>
      <c r="F139" s="255">
        <f t="shared" si="103"/>
        <v>813450</v>
      </c>
      <c r="G139" s="255">
        <f t="shared" si="103"/>
        <v>541977</v>
      </c>
      <c r="H139" s="259">
        <f t="shared" si="103"/>
        <v>0</v>
      </c>
      <c r="I139" s="254">
        <f t="shared" si="103"/>
        <v>4612570</v>
      </c>
      <c r="J139" s="1298">
        <f t="shared" si="96"/>
        <v>91.2892659108591</v>
      </c>
      <c r="K139" s="255">
        <f>+K140</f>
        <v>135494</v>
      </c>
      <c r="L139" s="1298">
        <f t="shared" si="97"/>
        <v>24.999953872581308</v>
      </c>
      <c r="M139" s="259">
        <f t="shared" si="99"/>
        <v>-406483</v>
      </c>
      <c r="N139" s="3281"/>
      <c r="O139" s="1244"/>
    </row>
    <row r="140" spans="1:25" ht="13.5" customHeight="1" thickBot="1" x14ac:dyDescent="0.25">
      <c r="A140" s="3133"/>
      <c r="B140" s="828" t="s">
        <v>14</v>
      </c>
      <c r="C140" s="3210"/>
      <c r="D140" s="262">
        <f>+E140+F140+G140+H140</f>
        <v>5052697</v>
      </c>
      <c r="E140" s="263">
        <f>1142978+993543+783410+777339</f>
        <v>3697270</v>
      </c>
      <c r="F140" s="799">
        <v>813450</v>
      </c>
      <c r="G140" s="799">
        <v>541977</v>
      </c>
      <c r="H140" s="1334">
        <v>0</v>
      </c>
      <c r="I140" s="264">
        <f>K140+E140+F140-33644</f>
        <v>4612570</v>
      </c>
      <c r="J140" s="1299">
        <f t="shared" si="96"/>
        <v>91.2892659108591</v>
      </c>
      <c r="K140" s="263">
        <v>135494</v>
      </c>
      <c r="L140" s="1299">
        <f t="shared" si="97"/>
        <v>24.999953872581308</v>
      </c>
      <c r="M140" s="265">
        <f t="shared" si="99"/>
        <v>-406483</v>
      </c>
      <c r="N140" s="3291"/>
      <c r="O140" s="1244"/>
    </row>
    <row r="141" spans="1:25" ht="27" customHeight="1" x14ac:dyDescent="0.2">
      <c r="A141" s="3130" t="s">
        <v>52</v>
      </c>
      <c r="B141" s="831" t="s">
        <v>235</v>
      </c>
      <c r="C141" s="236" t="s">
        <v>171</v>
      </c>
      <c r="D141" s="237"/>
      <c r="E141" s="238"/>
      <c r="F141" s="238"/>
      <c r="G141" s="238"/>
      <c r="H141" s="240"/>
      <c r="I141" s="237"/>
      <c r="J141" s="238"/>
      <c r="K141" s="238"/>
      <c r="L141" s="238"/>
      <c r="M141" s="240"/>
      <c r="N141" s="3290" t="s">
        <v>103</v>
      </c>
      <c r="O141" s="1244"/>
      <c r="P141" s="218"/>
    </row>
    <row r="142" spans="1:25" ht="12" customHeight="1" x14ac:dyDescent="0.2">
      <c r="A142" s="3131"/>
      <c r="B142" s="846" t="s">
        <v>2</v>
      </c>
      <c r="C142" s="25"/>
      <c r="D142" s="807">
        <f t="shared" ref="D142:I142" si="104">+D143+D146</f>
        <v>67131718</v>
      </c>
      <c r="E142" s="808">
        <f t="shared" si="104"/>
        <v>35649786</v>
      </c>
      <c r="F142" s="808">
        <f t="shared" si="104"/>
        <v>10488282</v>
      </c>
      <c r="G142" s="808">
        <f t="shared" si="104"/>
        <v>11141203</v>
      </c>
      <c r="H142" s="811">
        <f t="shared" si="104"/>
        <v>9852447</v>
      </c>
      <c r="I142" s="807">
        <f t="shared" si="104"/>
        <v>47953036</v>
      </c>
      <c r="J142" s="1266">
        <f>I142/D142*100</f>
        <v>71.431265918146167</v>
      </c>
      <c r="K142" s="808">
        <f>+K143+K146</f>
        <v>2387803</v>
      </c>
      <c r="L142" s="1266">
        <f>K142/G142*100</f>
        <v>21.432182862120005</v>
      </c>
      <c r="M142" s="1339">
        <f t="shared" ref="M142:M152" si="105">+K142-G142</f>
        <v>-8753400</v>
      </c>
      <c r="N142" s="3281"/>
      <c r="O142" s="1244"/>
    </row>
    <row r="143" spans="1:25" ht="13.5" customHeight="1" x14ac:dyDescent="0.2">
      <c r="A143" s="3131"/>
      <c r="B143" s="849" t="s">
        <v>17</v>
      </c>
      <c r="C143" s="3100" t="s">
        <v>117</v>
      </c>
      <c r="D143" s="812">
        <f t="shared" ref="D143:I143" si="106">+D144+D145</f>
        <v>10069755</v>
      </c>
      <c r="E143" s="813">
        <f t="shared" si="106"/>
        <v>5347466</v>
      </c>
      <c r="F143" s="813">
        <f t="shared" si="106"/>
        <v>1573242</v>
      </c>
      <c r="G143" s="813">
        <f t="shared" si="106"/>
        <v>1671180</v>
      </c>
      <c r="H143" s="814">
        <f t="shared" si="106"/>
        <v>1477867</v>
      </c>
      <c r="I143" s="812">
        <f t="shared" si="106"/>
        <v>7192952</v>
      </c>
      <c r="J143" s="1293">
        <f t="shared" ref="J143:J152" si="107">I143/D143*100</f>
        <v>71.431251306511427</v>
      </c>
      <c r="K143" s="813">
        <f>+K144+K145</f>
        <v>358170</v>
      </c>
      <c r="L143" s="1293">
        <f t="shared" ref="L143:L144" si="108">K143/G143*100</f>
        <v>21.43216170609988</v>
      </c>
      <c r="M143" s="1340">
        <f t="shared" si="105"/>
        <v>-1313010</v>
      </c>
      <c r="N143" s="3281"/>
      <c r="O143" s="1244"/>
    </row>
    <row r="144" spans="1:25" ht="12" customHeight="1" x14ac:dyDescent="0.2">
      <c r="A144" s="3131"/>
      <c r="B144" s="243" t="s">
        <v>4</v>
      </c>
      <c r="C144" s="3101"/>
      <c r="D144" s="244">
        <f>+E144+F144+G144+H144</f>
        <v>10056177</v>
      </c>
      <c r="E144" s="779">
        <f>1643859+1157208+1268792+1264029</f>
        <v>5333888</v>
      </c>
      <c r="F144" s="245">
        <v>1573242</v>
      </c>
      <c r="G144" s="245">
        <v>1671180</v>
      </c>
      <c r="H144" s="281">
        <v>1477867</v>
      </c>
      <c r="I144" s="246">
        <f>E144+F144+K144-85926</f>
        <v>7179374</v>
      </c>
      <c r="J144" s="1332">
        <f t="shared" si="107"/>
        <v>71.392677356414865</v>
      </c>
      <c r="K144" s="779">
        <v>358170</v>
      </c>
      <c r="L144" s="1332">
        <f t="shared" si="108"/>
        <v>21.43216170609988</v>
      </c>
      <c r="M144" s="1342">
        <f t="shared" si="105"/>
        <v>-1313010</v>
      </c>
      <c r="N144" s="3281"/>
      <c r="O144" s="1244"/>
    </row>
    <row r="145" spans="1:16" ht="12.75" customHeight="1" x14ac:dyDescent="0.2">
      <c r="A145" s="3131"/>
      <c r="B145" s="243" t="s">
        <v>7</v>
      </c>
      <c r="C145" s="3101"/>
      <c r="D145" s="244">
        <f>+E145+F145+G145+H145</f>
        <v>13578</v>
      </c>
      <c r="E145" s="245">
        <f>3691+9887</f>
        <v>13578</v>
      </c>
      <c r="F145" s="260">
        <v>0</v>
      </c>
      <c r="G145" s="260">
        <v>0</v>
      </c>
      <c r="H145" s="251">
        <v>0</v>
      </c>
      <c r="I145" s="244">
        <f>K145+E145+F145</f>
        <v>13578</v>
      </c>
      <c r="J145" s="1332">
        <f t="shared" si="107"/>
        <v>100</v>
      </c>
      <c r="K145" s="250">
        <v>0</v>
      </c>
      <c r="L145" s="1353">
        <v>0</v>
      </c>
      <c r="M145" s="1344">
        <f t="shared" si="105"/>
        <v>0</v>
      </c>
      <c r="N145" s="3281"/>
      <c r="O145" s="1244"/>
      <c r="P145" s="218"/>
    </row>
    <row r="146" spans="1:16" ht="12.75" customHeight="1" x14ac:dyDescent="0.2">
      <c r="A146" s="3131"/>
      <c r="B146" s="852" t="s">
        <v>12</v>
      </c>
      <c r="C146" s="3101"/>
      <c r="D146" s="254">
        <f t="shared" ref="D146:I146" si="109">+D147</f>
        <v>57061963</v>
      </c>
      <c r="E146" s="255">
        <f t="shared" si="109"/>
        <v>30302320</v>
      </c>
      <c r="F146" s="255">
        <f t="shared" si="109"/>
        <v>8915040</v>
      </c>
      <c r="G146" s="255">
        <f t="shared" si="109"/>
        <v>9470023</v>
      </c>
      <c r="H146" s="259">
        <f t="shared" si="109"/>
        <v>8374580</v>
      </c>
      <c r="I146" s="254">
        <f t="shared" si="109"/>
        <v>40760084</v>
      </c>
      <c r="J146" s="1293">
        <f t="shared" si="107"/>
        <v>71.431268496669148</v>
      </c>
      <c r="K146" s="255">
        <f>+K147</f>
        <v>2029633</v>
      </c>
      <c r="L146" s="1293">
        <f>K146/G146*100</f>
        <v>21.432186595534137</v>
      </c>
      <c r="M146" s="1343">
        <f t="shared" si="105"/>
        <v>-7440390</v>
      </c>
      <c r="N146" s="3281"/>
      <c r="O146" s="1244"/>
    </row>
    <row r="147" spans="1:16" ht="12.75" customHeight="1" x14ac:dyDescent="0.2">
      <c r="A147" s="3131"/>
      <c r="B147" s="243" t="s">
        <v>14</v>
      </c>
      <c r="C147" s="3101"/>
      <c r="D147" s="244">
        <f>+E147+F147+G147+H147</f>
        <v>57061963</v>
      </c>
      <c r="E147" s="779">
        <f>9315213+6578429+7245850+7162828</f>
        <v>30302320</v>
      </c>
      <c r="F147" s="245">
        <v>8915040</v>
      </c>
      <c r="G147" s="245">
        <v>9470023</v>
      </c>
      <c r="H147" s="281">
        <v>8374580</v>
      </c>
      <c r="I147" s="246">
        <f>E147+F147+K147-486909</f>
        <v>40760084</v>
      </c>
      <c r="J147" s="1332">
        <f t="shared" si="107"/>
        <v>71.431268496669148</v>
      </c>
      <c r="K147" s="779">
        <v>2029633</v>
      </c>
      <c r="L147" s="1332">
        <f t="shared" ref="L147:L148" si="110">K147/G147*100</f>
        <v>21.432186595534137</v>
      </c>
      <c r="M147" s="1342">
        <f t="shared" si="105"/>
        <v>-7440390</v>
      </c>
      <c r="N147" s="3281"/>
      <c r="O147" s="1244"/>
    </row>
    <row r="148" spans="1:16" ht="11.25" customHeight="1" x14ac:dyDescent="0.2">
      <c r="A148" s="3132"/>
      <c r="B148" s="846" t="s">
        <v>16</v>
      </c>
      <c r="C148" s="25"/>
      <c r="D148" s="233">
        <f t="shared" ref="D148:I148" si="111">+D149+D151</f>
        <v>57075541</v>
      </c>
      <c r="E148" s="234">
        <f>+E149+E151</f>
        <v>30315898</v>
      </c>
      <c r="F148" s="234">
        <f>+F149+F151</f>
        <v>8915040</v>
      </c>
      <c r="G148" s="234">
        <f t="shared" si="111"/>
        <v>9470023</v>
      </c>
      <c r="H148" s="241">
        <f t="shared" si="111"/>
        <v>8374580</v>
      </c>
      <c r="I148" s="233">
        <f t="shared" si="111"/>
        <v>40961099</v>
      </c>
      <c r="J148" s="1266">
        <f t="shared" si="107"/>
        <v>71.766466479923508</v>
      </c>
      <c r="K148" s="234">
        <f>+K149+K151</f>
        <v>2217070</v>
      </c>
      <c r="L148" s="1266">
        <f t="shared" si="110"/>
        <v>23.411453171761039</v>
      </c>
      <c r="M148" s="744">
        <f t="shared" si="105"/>
        <v>-7252953</v>
      </c>
      <c r="N148" s="3308"/>
      <c r="O148" s="1244"/>
    </row>
    <row r="149" spans="1:16" ht="12.75" customHeight="1" thickBot="1" x14ac:dyDescent="0.25">
      <c r="A149" s="3133"/>
      <c r="B149" s="849" t="s">
        <v>17</v>
      </c>
      <c r="C149" s="3312" t="s">
        <v>118</v>
      </c>
      <c r="D149" s="254">
        <f t="shared" ref="D149:I149" si="112">+D150</f>
        <v>13578</v>
      </c>
      <c r="E149" s="255">
        <f t="shared" si="112"/>
        <v>13578</v>
      </c>
      <c r="F149" s="257">
        <f t="shared" si="112"/>
        <v>0</v>
      </c>
      <c r="G149" s="257">
        <f t="shared" si="112"/>
        <v>0</v>
      </c>
      <c r="H149" s="258">
        <f t="shared" si="112"/>
        <v>0</v>
      </c>
      <c r="I149" s="254">
        <f t="shared" si="112"/>
        <v>13578</v>
      </c>
      <c r="J149" s="1293">
        <f t="shared" si="107"/>
        <v>100</v>
      </c>
      <c r="K149" s="257">
        <f>+K150</f>
        <v>0</v>
      </c>
      <c r="L149" s="398">
        <v>0</v>
      </c>
      <c r="M149" s="259">
        <f t="shared" si="105"/>
        <v>0</v>
      </c>
      <c r="N149" s="3309"/>
      <c r="O149" s="1244"/>
    </row>
    <row r="150" spans="1:16" ht="12.75" customHeight="1" x14ac:dyDescent="0.2">
      <c r="A150" s="3310"/>
      <c r="B150" s="1216" t="s">
        <v>7</v>
      </c>
      <c r="C150" s="3313"/>
      <c r="D150" s="821">
        <f>+E150+F150+G150+H150</f>
        <v>13578</v>
      </c>
      <c r="E150" s="1354">
        <f>10500-6809+9887</f>
        <v>13578</v>
      </c>
      <c r="F150" s="1355">
        <v>0</v>
      </c>
      <c r="G150" s="1355">
        <v>0</v>
      </c>
      <c r="H150" s="1356">
        <v>0</v>
      </c>
      <c r="I150" s="821">
        <f>K150+E150+F150</f>
        <v>13578</v>
      </c>
      <c r="J150" s="1357">
        <f t="shared" si="107"/>
        <v>100</v>
      </c>
      <c r="K150" s="1355">
        <v>0</v>
      </c>
      <c r="L150" s="1358">
        <v>0</v>
      </c>
      <c r="M150" s="1359">
        <f t="shared" si="105"/>
        <v>0</v>
      </c>
      <c r="N150" s="3311"/>
      <c r="O150" s="1244"/>
    </row>
    <row r="151" spans="1:16" ht="12.75" customHeight="1" x14ac:dyDescent="0.2">
      <c r="A151" s="3132"/>
      <c r="B151" s="852" t="s">
        <v>12</v>
      </c>
      <c r="C151" s="3209"/>
      <c r="D151" s="254">
        <f t="shared" ref="D151:I151" si="113">+D152</f>
        <v>57061963</v>
      </c>
      <c r="E151" s="255">
        <f t="shared" si="113"/>
        <v>30302320</v>
      </c>
      <c r="F151" s="255">
        <f t="shared" si="113"/>
        <v>8915040</v>
      </c>
      <c r="G151" s="255">
        <f t="shared" si="113"/>
        <v>9470023</v>
      </c>
      <c r="H151" s="259">
        <f t="shared" si="113"/>
        <v>8374580</v>
      </c>
      <c r="I151" s="254">
        <f t="shared" si="113"/>
        <v>40947521</v>
      </c>
      <c r="J151" s="1293">
        <f t="shared" si="107"/>
        <v>71.759748258222373</v>
      </c>
      <c r="K151" s="255">
        <f>+K152</f>
        <v>2217070</v>
      </c>
      <c r="L151" s="1293">
        <f>K151/G151*100</f>
        <v>23.411453171761039</v>
      </c>
      <c r="M151" s="1343">
        <f t="shared" si="105"/>
        <v>-7252953</v>
      </c>
      <c r="N151" s="3308"/>
      <c r="O151" s="1244"/>
    </row>
    <row r="152" spans="1:16" ht="12" customHeight="1" thickBot="1" x14ac:dyDescent="0.25">
      <c r="A152" s="3133"/>
      <c r="B152" s="828" t="s">
        <v>14</v>
      </c>
      <c r="C152" s="3210"/>
      <c r="D152" s="262">
        <f>+E152+F152+G152+H152</f>
        <v>57061963</v>
      </c>
      <c r="E152" s="263">
        <f>9315213+6578429+7245850+7162828</f>
        <v>30302320</v>
      </c>
      <c r="F152" s="799">
        <v>8915040</v>
      </c>
      <c r="G152" s="799">
        <v>9470023</v>
      </c>
      <c r="H152" s="1334">
        <v>8374580</v>
      </c>
      <c r="I152" s="264">
        <f>E152+F152+K152-486909</f>
        <v>40947521</v>
      </c>
      <c r="J152" s="1349">
        <f t="shared" si="107"/>
        <v>71.759748258222373</v>
      </c>
      <c r="K152" s="263">
        <v>2217070</v>
      </c>
      <c r="L152" s="1349">
        <f>K152/G152*100</f>
        <v>23.411453171761039</v>
      </c>
      <c r="M152" s="1345">
        <f t="shared" si="105"/>
        <v>-7252953</v>
      </c>
      <c r="N152" s="3309"/>
      <c r="O152" s="1244"/>
    </row>
    <row r="153" spans="1:16" ht="27.75" customHeight="1" x14ac:dyDescent="0.2">
      <c r="A153" s="3130" t="s">
        <v>53</v>
      </c>
      <c r="B153" s="831" t="s">
        <v>222</v>
      </c>
      <c r="C153" s="236" t="s">
        <v>166</v>
      </c>
      <c r="D153" s="237"/>
      <c r="E153" s="238"/>
      <c r="F153" s="238"/>
      <c r="G153" s="238"/>
      <c r="H153" s="240"/>
      <c r="I153" s="237"/>
      <c r="J153" s="238"/>
      <c r="K153" s="238"/>
      <c r="L153" s="238"/>
      <c r="M153" s="240"/>
      <c r="N153" s="3290" t="s">
        <v>103</v>
      </c>
      <c r="O153" s="1244"/>
    </row>
    <row r="154" spans="1:16" ht="13.5" customHeight="1" x14ac:dyDescent="0.2">
      <c r="A154" s="3131"/>
      <c r="B154" s="846" t="s">
        <v>2</v>
      </c>
      <c r="C154" s="25"/>
      <c r="D154" s="807">
        <f t="shared" ref="D154:I154" si="114">+D155+D158</f>
        <v>397217</v>
      </c>
      <c r="E154" s="808">
        <f t="shared" si="114"/>
        <v>224276</v>
      </c>
      <c r="F154" s="808">
        <f t="shared" si="114"/>
        <v>72941</v>
      </c>
      <c r="G154" s="808">
        <f t="shared" si="114"/>
        <v>100000</v>
      </c>
      <c r="H154" s="808">
        <f>+H155+H158</f>
        <v>0</v>
      </c>
      <c r="I154" s="807">
        <f t="shared" si="114"/>
        <v>291778</v>
      </c>
      <c r="J154" s="1266">
        <f>I154/D154*100</f>
        <v>73.45556710815498</v>
      </c>
      <c r="K154" s="978">
        <f>K155+K158</f>
        <v>0</v>
      </c>
      <c r="L154" s="1266">
        <f>K154/G154*100</f>
        <v>0</v>
      </c>
      <c r="M154" s="1268">
        <f>+K154-G154</f>
        <v>-100000</v>
      </c>
      <c r="N154" s="3281"/>
      <c r="O154" s="1244"/>
    </row>
    <row r="155" spans="1:16" ht="13.5" customHeight="1" x14ac:dyDescent="0.2">
      <c r="A155" s="3131"/>
      <c r="B155" s="849" t="s">
        <v>17</v>
      </c>
      <c r="C155" s="3100" t="s">
        <v>117</v>
      </c>
      <c r="D155" s="812">
        <f t="shared" ref="D155:I155" si="115">+D156+D157</f>
        <v>59583</v>
      </c>
      <c r="E155" s="813">
        <f t="shared" si="115"/>
        <v>33642</v>
      </c>
      <c r="F155" s="813">
        <f t="shared" si="115"/>
        <v>10941</v>
      </c>
      <c r="G155" s="813">
        <f t="shared" si="115"/>
        <v>15000</v>
      </c>
      <c r="H155" s="813">
        <f>+H156+H157</f>
        <v>0</v>
      </c>
      <c r="I155" s="812">
        <f t="shared" si="115"/>
        <v>43767</v>
      </c>
      <c r="J155" s="1298">
        <f t="shared" ref="J155:J164" si="116">I155/D155*100</f>
        <v>73.455515835053617</v>
      </c>
      <c r="K155" s="1087">
        <f>K156</f>
        <v>0</v>
      </c>
      <c r="L155" s="1293">
        <f t="shared" ref="L155:L164" si="117">K155/G155*100</f>
        <v>0</v>
      </c>
      <c r="M155" s="400">
        <f>+K155-G155</f>
        <v>-15000</v>
      </c>
      <c r="N155" s="3281"/>
      <c r="O155" s="1244"/>
    </row>
    <row r="156" spans="1:16" ht="13.5" customHeight="1" x14ac:dyDescent="0.2">
      <c r="A156" s="3131"/>
      <c r="B156" s="243" t="s">
        <v>4</v>
      </c>
      <c r="C156" s="3101"/>
      <c r="D156" s="244">
        <f>+E156+F156+G156+H156</f>
        <v>59583</v>
      </c>
      <c r="E156" s="245">
        <f>25498+2247+5897</f>
        <v>33642</v>
      </c>
      <c r="F156" s="245">
        <v>10941</v>
      </c>
      <c r="G156" s="245">
        <v>15000</v>
      </c>
      <c r="H156" s="245">
        <v>0</v>
      </c>
      <c r="I156" s="244">
        <f>K156+E156+F156-816</f>
        <v>43767</v>
      </c>
      <c r="J156" s="1305">
        <f t="shared" si="116"/>
        <v>73.455515835053617</v>
      </c>
      <c r="K156" s="779">
        <v>0</v>
      </c>
      <c r="L156" s="1332">
        <f t="shared" si="117"/>
        <v>0</v>
      </c>
      <c r="M156" s="1360">
        <f>+K156-G156</f>
        <v>-15000</v>
      </c>
      <c r="N156" s="3281"/>
      <c r="O156" s="1244"/>
    </row>
    <row r="157" spans="1:16" ht="13.5" hidden="1" customHeight="1" x14ac:dyDescent="0.2">
      <c r="A157" s="3131"/>
      <c r="B157" s="243" t="s">
        <v>7</v>
      </c>
      <c r="C157" s="3101"/>
      <c r="D157" s="244">
        <f>+E157+F157+G157+H157</f>
        <v>0</v>
      </c>
      <c r="E157" s="245"/>
      <c r="F157" s="245"/>
      <c r="G157" s="260">
        <v>0</v>
      </c>
      <c r="H157" s="260">
        <v>0</v>
      </c>
      <c r="I157" s="244">
        <f>K157+E157+F157</f>
        <v>0</v>
      </c>
      <c r="J157" s="1305" t="e">
        <f t="shared" si="116"/>
        <v>#DIV/0!</v>
      </c>
      <c r="K157" s="1064"/>
      <c r="L157" s="1332" t="e">
        <f t="shared" si="117"/>
        <v>#DIV/0!</v>
      </c>
      <c r="M157" s="1360">
        <f t="shared" ref="M157:M162" si="118">+K157-G157*0.5</f>
        <v>0</v>
      </c>
      <c r="N157" s="3281"/>
      <c r="O157" s="1244"/>
    </row>
    <row r="158" spans="1:16" ht="12.75" customHeight="1" x14ac:dyDescent="0.2">
      <c r="A158" s="3131"/>
      <c r="B158" s="852" t="s">
        <v>12</v>
      </c>
      <c r="C158" s="3101"/>
      <c r="D158" s="254">
        <f t="shared" ref="D158:I158" si="119">+D159</f>
        <v>337634</v>
      </c>
      <c r="E158" s="255">
        <f t="shared" si="119"/>
        <v>190634</v>
      </c>
      <c r="F158" s="255">
        <f t="shared" si="119"/>
        <v>62000</v>
      </c>
      <c r="G158" s="255">
        <f t="shared" si="119"/>
        <v>85000</v>
      </c>
      <c r="H158" s="255">
        <f t="shared" si="119"/>
        <v>0</v>
      </c>
      <c r="I158" s="254">
        <f t="shared" si="119"/>
        <v>248011</v>
      </c>
      <c r="J158" s="1298">
        <f t="shared" si="116"/>
        <v>73.455576156429743</v>
      </c>
      <c r="K158" s="1087">
        <f>K159</f>
        <v>0</v>
      </c>
      <c r="L158" s="1293">
        <f t="shared" si="117"/>
        <v>0</v>
      </c>
      <c r="M158" s="400">
        <f>+K158-G158</f>
        <v>-85000</v>
      </c>
      <c r="N158" s="3281"/>
      <c r="O158" s="1244"/>
    </row>
    <row r="159" spans="1:16" ht="13.5" customHeight="1" x14ac:dyDescent="0.2">
      <c r="A159" s="3131"/>
      <c r="B159" s="243" t="s">
        <v>14</v>
      </c>
      <c r="C159" s="3101"/>
      <c r="D159" s="244">
        <f>+E159+F159+G159+H159</f>
        <v>337634</v>
      </c>
      <c r="E159" s="245">
        <f>144486+12734+33414</f>
        <v>190634</v>
      </c>
      <c r="F159" s="245">
        <v>62000</v>
      </c>
      <c r="G159" s="245">
        <v>85000</v>
      </c>
      <c r="H159" s="245">
        <v>0</v>
      </c>
      <c r="I159" s="244">
        <f>K159+E159+F159-4623</f>
        <v>248011</v>
      </c>
      <c r="J159" s="1305">
        <f t="shared" si="116"/>
        <v>73.455576156429743</v>
      </c>
      <c r="K159" s="779">
        <v>0</v>
      </c>
      <c r="L159" s="1332">
        <f t="shared" si="117"/>
        <v>0</v>
      </c>
      <c r="M159" s="1360">
        <f>+K159-G159</f>
        <v>-85000</v>
      </c>
      <c r="N159" s="3281"/>
      <c r="O159" s="1244"/>
    </row>
    <row r="160" spans="1:16" ht="13.5" customHeight="1" x14ac:dyDescent="0.2">
      <c r="A160" s="3132"/>
      <c r="B160" s="846" t="s">
        <v>16</v>
      </c>
      <c r="C160" s="25"/>
      <c r="D160" s="233">
        <f t="shared" ref="D160:I160" si="120">+D161+D163</f>
        <v>337634</v>
      </c>
      <c r="E160" s="234">
        <f t="shared" si="120"/>
        <v>190634</v>
      </c>
      <c r="F160" s="234">
        <f t="shared" si="120"/>
        <v>62000</v>
      </c>
      <c r="G160" s="234">
        <f t="shared" si="120"/>
        <v>85000</v>
      </c>
      <c r="H160" s="234">
        <f t="shared" si="120"/>
        <v>0</v>
      </c>
      <c r="I160" s="233">
        <f t="shared" si="120"/>
        <v>248011</v>
      </c>
      <c r="J160" s="1266">
        <f t="shared" si="116"/>
        <v>73.455576156429743</v>
      </c>
      <c r="K160" s="978">
        <f>K163</f>
        <v>0</v>
      </c>
      <c r="L160" s="1266">
        <f t="shared" si="117"/>
        <v>0</v>
      </c>
      <c r="M160" s="1268">
        <f>+K160-G160</f>
        <v>-85000</v>
      </c>
      <c r="N160" s="3308"/>
      <c r="O160" s="1244"/>
    </row>
    <row r="161" spans="1:16" ht="13.5" hidden="1" customHeight="1" x14ac:dyDescent="0.2">
      <c r="A161" s="3132"/>
      <c r="B161" s="849" t="s">
        <v>17</v>
      </c>
      <c r="C161" s="3208" t="s">
        <v>107</v>
      </c>
      <c r="D161" s="254">
        <f t="shared" ref="D161:I161" si="121">+D162</f>
        <v>0</v>
      </c>
      <c r="E161" s="255">
        <f t="shared" si="121"/>
        <v>0</v>
      </c>
      <c r="F161" s="255">
        <f t="shared" si="121"/>
        <v>0</v>
      </c>
      <c r="G161" s="255">
        <f t="shared" si="121"/>
        <v>0</v>
      </c>
      <c r="H161" s="255">
        <f>+H162</f>
        <v>0</v>
      </c>
      <c r="I161" s="254">
        <f t="shared" si="121"/>
        <v>0</v>
      </c>
      <c r="J161" s="1298" t="e">
        <f t="shared" si="116"/>
        <v>#DIV/0!</v>
      </c>
      <c r="K161" s="257"/>
      <c r="L161" s="1293" t="e">
        <f t="shared" si="117"/>
        <v>#DIV/0!</v>
      </c>
      <c r="M161" s="400">
        <f t="shared" si="118"/>
        <v>0</v>
      </c>
      <c r="N161" s="3308"/>
      <c r="O161" s="1244"/>
    </row>
    <row r="162" spans="1:16" ht="13.5" hidden="1" customHeight="1" x14ac:dyDescent="0.2">
      <c r="A162" s="3132"/>
      <c r="B162" s="243" t="s">
        <v>7</v>
      </c>
      <c r="C162" s="3101"/>
      <c r="D162" s="244">
        <f>+E162+F162+G162+H162</f>
        <v>0</v>
      </c>
      <c r="E162" s="853"/>
      <c r="F162" s="853"/>
      <c r="G162" s="853">
        <v>0</v>
      </c>
      <c r="H162" s="853">
        <v>0</v>
      </c>
      <c r="I162" s="244">
        <f>K162+E162+F162</f>
        <v>0</v>
      </c>
      <c r="J162" s="1305" t="e">
        <f t="shared" si="116"/>
        <v>#DIV/0!</v>
      </c>
      <c r="K162" s="877"/>
      <c r="L162" s="1332" t="e">
        <f t="shared" si="117"/>
        <v>#DIV/0!</v>
      </c>
      <c r="M162" s="1360">
        <f t="shared" si="118"/>
        <v>0</v>
      </c>
      <c r="N162" s="3308"/>
      <c r="O162" s="1244"/>
    </row>
    <row r="163" spans="1:16" ht="12" customHeight="1" x14ac:dyDescent="0.2">
      <c r="A163" s="3132"/>
      <c r="B163" s="852" t="s">
        <v>12</v>
      </c>
      <c r="C163" s="3209"/>
      <c r="D163" s="254">
        <f t="shared" ref="D163:I163" si="122">+D164</f>
        <v>337634</v>
      </c>
      <c r="E163" s="255">
        <f t="shared" si="122"/>
        <v>190634</v>
      </c>
      <c r="F163" s="255">
        <f t="shared" si="122"/>
        <v>62000</v>
      </c>
      <c r="G163" s="255">
        <f t="shared" si="122"/>
        <v>85000</v>
      </c>
      <c r="H163" s="255">
        <f>+H164</f>
        <v>0</v>
      </c>
      <c r="I163" s="254">
        <f t="shared" si="122"/>
        <v>248011</v>
      </c>
      <c r="J163" s="1298">
        <f t="shared" si="116"/>
        <v>73.455576156429743</v>
      </c>
      <c r="K163" s="813">
        <f>K164</f>
        <v>0</v>
      </c>
      <c r="L163" s="1293">
        <f t="shared" si="117"/>
        <v>0</v>
      </c>
      <c r="M163" s="400">
        <f>+K163-G163</f>
        <v>-85000</v>
      </c>
      <c r="N163" s="3308"/>
      <c r="O163" s="1244"/>
    </row>
    <row r="164" spans="1:16" ht="13.5" customHeight="1" thickBot="1" x14ac:dyDescent="0.25">
      <c r="A164" s="3133"/>
      <c r="B164" s="828" t="s">
        <v>14</v>
      </c>
      <c r="C164" s="3210"/>
      <c r="D164" s="262">
        <f>+E164+F164+G164+H164</f>
        <v>337634</v>
      </c>
      <c r="E164" s="799">
        <f>144486+12734+33414</f>
        <v>190634</v>
      </c>
      <c r="F164" s="799">
        <v>62000</v>
      </c>
      <c r="G164" s="799">
        <v>85000</v>
      </c>
      <c r="H164" s="799">
        <v>0</v>
      </c>
      <c r="I164" s="262">
        <f>K164+E164+F164-4623</f>
        <v>248011</v>
      </c>
      <c r="J164" s="1299">
        <f t="shared" si="116"/>
        <v>73.455576156429743</v>
      </c>
      <c r="K164" s="263">
        <v>0</v>
      </c>
      <c r="L164" s="1349">
        <f t="shared" si="117"/>
        <v>0</v>
      </c>
      <c r="M164" s="1361">
        <f>+K164-G164</f>
        <v>-85000</v>
      </c>
      <c r="N164" s="3309"/>
      <c r="O164" s="1244"/>
    </row>
    <row r="165" spans="1:16" ht="45" customHeight="1" x14ac:dyDescent="0.2">
      <c r="A165" s="3130" t="s">
        <v>54</v>
      </c>
      <c r="B165" s="831" t="s">
        <v>296</v>
      </c>
      <c r="C165" s="236" t="s">
        <v>171</v>
      </c>
      <c r="D165" s="237"/>
      <c r="E165" s="238"/>
      <c r="F165" s="238"/>
      <c r="G165" s="238"/>
      <c r="H165" s="240"/>
      <c r="I165" s="237"/>
      <c r="J165" s="238"/>
      <c r="K165" s="238"/>
      <c r="L165" s="238"/>
      <c r="M165" s="240"/>
      <c r="N165" s="3290" t="s">
        <v>119</v>
      </c>
      <c r="O165" s="1244"/>
    </row>
    <row r="166" spans="1:16" ht="13.5" customHeight="1" x14ac:dyDescent="0.2">
      <c r="A166" s="3131"/>
      <c r="B166" s="220" t="s">
        <v>2</v>
      </c>
      <c r="C166" s="25"/>
      <c r="D166" s="807">
        <f t="shared" ref="D166:H166" si="123">+D167+D170</f>
        <v>1319989</v>
      </c>
      <c r="E166" s="808">
        <f t="shared" si="123"/>
        <v>554989</v>
      </c>
      <c r="F166" s="808">
        <f t="shared" si="123"/>
        <v>366012</v>
      </c>
      <c r="G166" s="808">
        <f t="shared" si="123"/>
        <v>303418</v>
      </c>
      <c r="H166" s="811">
        <f t="shared" si="123"/>
        <v>95570</v>
      </c>
      <c r="I166" s="807">
        <f>I167+I170</f>
        <v>842868</v>
      </c>
      <c r="J166" s="1266">
        <f t="shared" ref="J166:J167" si="124">I166/D166*100</f>
        <v>63.854168481707042</v>
      </c>
      <c r="K166" s="808">
        <f>+K167+K170</f>
        <v>0</v>
      </c>
      <c r="L166" s="1336">
        <f>+K166/G166*100</f>
        <v>0</v>
      </c>
      <c r="M166" s="811">
        <f>+K166-G166</f>
        <v>-303418</v>
      </c>
      <c r="N166" s="3281"/>
      <c r="O166" s="1244"/>
      <c r="P166" s="218"/>
    </row>
    <row r="167" spans="1:16" ht="13.5" customHeight="1" x14ac:dyDescent="0.2">
      <c r="A167" s="3131"/>
      <c r="B167" s="242" t="s">
        <v>17</v>
      </c>
      <c r="C167" s="3100" t="s">
        <v>120</v>
      </c>
      <c r="D167" s="812">
        <f t="shared" ref="D167:H167" si="125">+D168+D169</f>
        <v>197999</v>
      </c>
      <c r="E167" s="813">
        <f t="shared" si="125"/>
        <v>83248</v>
      </c>
      <c r="F167" s="813">
        <f t="shared" si="125"/>
        <v>54902</v>
      </c>
      <c r="G167" s="813">
        <f t="shared" si="125"/>
        <v>45513</v>
      </c>
      <c r="H167" s="814">
        <f t="shared" si="125"/>
        <v>14336</v>
      </c>
      <c r="I167" s="812">
        <f>I169</f>
        <v>126430</v>
      </c>
      <c r="J167" s="1298">
        <f t="shared" si="124"/>
        <v>63.853857847766903</v>
      </c>
      <c r="K167" s="813">
        <f>+K168+K169</f>
        <v>0</v>
      </c>
      <c r="L167" s="1362">
        <f>+K167/G167*100</f>
        <v>0</v>
      </c>
      <c r="M167" s="814">
        <f>+K167-G167</f>
        <v>-45513</v>
      </c>
      <c r="N167" s="3281"/>
      <c r="O167" s="1244"/>
    </row>
    <row r="168" spans="1:16" ht="13.5" hidden="1" customHeight="1" x14ac:dyDescent="0.2">
      <c r="A168" s="3131"/>
      <c r="B168" s="243" t="s">
        <v>4</v>
      </c>
      <c r="C168" s="3101"/>
      <c r="D168" s="244">
        <f>+E168+F168+G168+H168</f>
        <v>0</v>
      </c>
      <c r="E168" s="245"/>
      <c r="F168" s="245"/>
      <c r="G168" s="245"/>
      <c r="H168" s="281"/>
      <c r="I168" s="246">
        <f t="shared" ref="I168:I175" si="126">K168+E168+F168</f>
        <v>0</v>
      </c>
      <c r="J168" s="208" t="e">
        <f>I168/#REF!*100</f>
        <v>#REF!</v>
      </c>
      <c r="K168" s="208"/>
      <c r="L168" s="208" t="e">
        <f>K168/#REF!*100</f>
        <v>#REF!</v>
      </c>
      <c r="M168" s="247">
        <f t="shared" ref="M168:M198" si="127">+K168-G168*0.5</f>
        <v>0</v>
      </c>
      <c r="N168" s="3281"/>
      <c r="O168" s="1244"/>
    </row>
    <row r="169" spans="1:16" ht="13.5" customHeight="1" x14ac:dyDescent="0.2">
      <c r="A169" s="3131"/>
      <c r="B169" s="243" t="s">
        <v>7</v>
      </c>
      <c r="C169" s="3101"/>
      <c r="D169" s="244">
        <f>+E169+F169+G169+H169</f>
        <v>197999</v>
      </c>
      <c r="E169" s="245">
        <f>19739+25971+37538</f>
        <v>83248</v>
      </c>
      <c r="F169" s="245">
        <v>54902</v>
      </c>
      <c r="G169" s="245">
        <v>45513</v>
      </c>
      <c r="H169" s="281">
        <v>14336</v>
      </c>
      <c r="I169" s="246">
        <f>K169+E169+F169-11720</f>
        <v>126430</v>
      </c>
      <c r="J169" s="1305">
        <f>I169/D169*100</f>
        <v>63.853857847766903</v>
      </c>
      <c r="K169" s="779">
        <v>0</v>
      </c>
      <c r="L169" s="1363">
        <f t="shared" ref="L169:L176" si="128">+K169/G169*100</f>
        <v>0</v>
      </c>
      <c r="M169" s="247">
        <f t="shared" ref="M169:M176" si="129">+K169-G169</f>
        <v>-45513</v>
      </c>
      <c r="N169" s="3281"/>
      <c r="O169" s="1244"/>
    </row>
    <row r="170" spans="1:16" ht="12.75" customHeight="1" thickBot="1" x14ac:dyDescent="0.25">
      <c r="A170" s="3226"/>
      <c r="B170" s="253" t="s">
        <v>12</v>
      </c>
      <c r="C170" s="3186"/>
      <c r="D170" s="254">
        <f t="shared" ref="D170:H170" si="130">+D171</f>
        <v>1121990</v>
      </c>
      <c r="E170" s="255">
        <f t="shared" si="130"/>
        <v>471741</v>
      </c>
      <c r="F170" s="255">
        <f t="shared" si="130"/>
        <v>311110</v>
      </c>
      <c r="G170" s="255">
        <f t="shared" si="130"/>
        <v>257905</v>
      </c>
      <c r="H170" s="259">
        <f t="shared" si="130"/>
        <v>81234</v>
      </c>
      <c r="I170" s="254">
        <f>I171</f>
        <v>716438</v>
      </c>
      <c r="J170" s="1298">
        <f t="shared" ref="J170:J175" si="131">I170/D170*100</f>
        <v>63.85422329967291</v>
      </c>
      <c r="K170" s="1364">
        <f>+K171</f>
        <v>0</v>
      </c>
      <c r="L170" s="1362">
        <f t="shared" si="128"/>
        <v>0</v>
      </c>
      <c r="M170" s="259">
        <f t="shared" si="129"/>
        <v>-257905</v>
      </c>
      <c r="N170" s="3314"/>
      <c r="O170" s="1244"/>
    </row>
    <row r="171" spans="1:16" ht="13.5" customHeight="1" x14ac:dyDescent="0.2">
      <c r="A171" s="3130"/>
      <c r="B171" s="243" t="s">
        <v>14</v>
      </c>
      <c r="C171" s="3315"/>
      <c r="D171" s="244">
        <f>+E171+F171+G171+H171</f>
        <v>1121990</v>
      </c>
      <c r="E171" s="245">
        <f>111854+147169+212718</f>
        <v>471741</v>
      </c>
      <c r="F171" s="245">
        <v>311110</v>
      </c>
      <c r="G171" s="245">
        <v>257905</v>
      </c>
      <c r="H171" s="281">
        <v>81234</v>
      </c>
      <c r="I171" s="246">
        <f>K171+E171+F171-66413</f>
        <v>716438</v>
      </c>
      <c r="J171" s="1305">
        <f t="shared" si="131"/>
        <v>63.85422329967291</v>
      </c>
      <c r="K171" s="779">
        <v>0</v>
      </c>
      <c r="L171" s="1363">
        <f t="shared" si="128"/>
        <v>0</v>
      </c>
      <c r="M171" s="247">
        <f t="shared" si="129"/>
        <v>-257905</v>
      </c>
      <c r="N171" s="3290"/>
      <c r="O171" s="1244"/>
    </row>
    <row r="172" spans="1:16" ht="13.5" customHeight="1" x14ac:dyDescent="0.2">
      <c r="A172" s="3132"/>
      <c r="B172" s="220" t="s">
        <v>16</v>
      </c>
      <c r="C172" s="25"/>
      <c r="D172" s="233">
        <f t="shared" ref="D172:I172" si="132">+D173+D175</f>
        <v>1319989</v>
      </c>
      <c r="E172" s="234">
        <f t="shared" si="132"/>
        <v>552655</v>
      </c>
      <c r="F172" s="234">
        <f t="shared" si="132"/>
        <v>366012</v>
      </c>
      <c r="G172" s="234">
        <f t="shared" si="132"/>
        <v>303418</v>
      </c>
      <c r="H172" s="241">
        <f t="shared" si="132"/>
        <v>97904</v>
      </c>
      <c r="I172" s="233">
        <f t="shared" si="132"/>
        <v>918667</v>
      </c>
      <c r="J172" s="1266">
        <f t="shared" si="131"/>
        <v>69.596564819858344</v>
      </c>
      <c r="K172" s="234">
        <f>+K173+K175</f>
        <v>0</v>
      </c>
      <c r="L172" s="1336">
        <f t="shared" si="128"/>
        <v>0</v>
      </c>
      <c r="M172" s="241">
        <f t="shared" si="129"/>
        <v>-303418</v>
      </c>
      <c r="N172" s="3308"/>
      <c r="O172" s="1244"/>
      <c r="P172" s="218"/>
    </row>
    <row r="173" spans="1:16" ht="13.5" customHeight="1" x14ac:dyDescent="0.2">
      <c r="A173" s="3132"/>
      <c r="B173" s="242" t="s">
        <v>17</v>
      </c>
      <c r="C173" s="3208" t="s">
        <v>121</v>
      </c>
      <c r="D173" s="254">
        <f t="shared" ref="D173:H173" si="133">+D174</f>
        <v>197999</v>
      </c>
      <c r="E173" s="255">
        <f t="shared" si="133"/>
        <v>82898</v>
      </c>
      <c r="F173" s="255">
        <f t="shared" si="133"/>
        <v>54902</v>
      </c>
      <c r="G173" s="255">
        <f t="shared" si="133"/>
        <v>45513</v>
      </c>
      <c r="H173" s="259">
        <f t="shared" si="133"/>
        <v>14686</v>
      </c>
      <c r="I173" s="254">
        <f t="shared" si="126"/>
        <v>137800</v>
      </c>
      <c r="J173" s="1298">
        <f t="shared" si="131"/>
        <v>69.596311092480263</v>
      </c>
      <c r="K173" s="255">
        <f>+K174</f>
        <v>0</v>
      </c>
      <c r="L173" s="1362">
        <f t="shared" si="128"/>
        <v>0</v>
      </c>
      <c r="M173" s="259">
        <f t="shared" si="129"/>
        <v>-45513</v>
      </c>
      <c r="N173" s="3308"/>
      <c r="O173" s="1244"/>
    </row>
    <row r="174" spans="1:16" ht="13.5" customHeight="1" x14ac:dyDescent="0.2">
      <c r="A174" s="3132"/>
      <c r="B174" s="243" t="s">
        <v>7</v>
      </c>
      <c r="C174" s="3101"/>
      <c r="D174" s="244">
        <f>+E174+F174+G174+H174</f>
        <v>197999</v>
      </c>
      <c r="E174" s="245">
        <f>19739+25621+37538</f>
        <v>82898</v>
      </c>
      <c r="F174" s="245">
        <v>54902</v>
      </c>
      <c r="G174" s="245">
        <v>45513</v>
      </c>
      <c r="H174" s="281">
        <v>14686</v>
      </c>
      <c r="I174" s="244">
        <f t="shared" si="126"/>
        <v>137800</v>
      </c>
      <c r="J174" s="1305">
        <f t="shared" si="131"/>
        <v>69.596311092480263</v>
      </c>
      <c r="K174" s="245">
        <v>0</v>
      </c>
      <c r="L174" s="1363">
        <f t="shared" si="128"/>
        <v>0</v>
      </c>
      <c r="M174" s="1191">
        <f t="shared" si="129"/>
        <v>-45513</v>
      </c>
      <c r="N174" s="3308"/>
      <c r="O174" s="1244"/>
    </row>
    <row r="175" spans="1:16" ht="12" customHeight="1" x14ac:dyDescent="0.2">
      <c r="A175" s="3132"/>
      <c r="B175" s="253" t="s">
        <v>12</v>
      </c>
      <c r="C175" s="3209"/>
      <c r="D175" s="254">
        <f t="shared" ref="D175:H175" si="134">+D176</f>
        <v>1121990</v>
      </c>
      <c r="E175" s="255">
        <f t="shared" si="134"/>
        <v>469757</v>
      </c>
      <c r="F175" s="255">
        <f t="shared" si="134"/>
        <v>311110</v>
      </c>
      <c r="G175" s="255">
        <f t="shared" si="134"/>
        <v>257905</v>
      </c>
      <c r="H175" s="259">
        <f t="shared" si="134"/>
        <v>83218</v>
      </c>
      <c r="I175" s="254">
        <f t="shared" si="126"/>
        <v>780867</v>
      </c>
      <c r="J175" s="1298">
        <f t="shared" si="131"/>
        <v>69.596609595450943</v>
      </c>
      <c r="K175" s="255">
        <f>+K176</f>
        <v>0</v>
      </c>
      <c r="L175" s="1362">
        <f t="shared" si="128"/>
        <v>0</v>
      </c>
      <c r="M175" s="259">
        <f t="shared" si="129"/>
        <v>-257905</v>
      </c>
      <c r="N175" s="3308"/>
      <c r="O175" s="1244"/>
    </row>
    <row r="176" spans="1:16" ht="13.5" thickBot="1" x14ac:dyDescent="0.25">
      <c r="A176" s="3133"/>
      <c r="B176" s="828" t="s">
        <v>14</v>
      </c>
      <c r="C176" s="3210"/>
      <c r="D176" s="262">
        <f>+E176+F176+G176+H176</f>
        <v>1121990</v>
      </c>
      <c r="E176" s="799">
        <f>111854+145185+212718</f>
        <v>469757</v>
      </c>
      <c r="F176" s="799">
        <v>311110</v>
      </c>
      <c r="G176" s="799">
        <v>257905</v>
      </c>
      <c r="H176" s="1334">
        <v>83218</v>
      </c>
      <c r="I176" s="264">
        <f>K176+E176+F176</f>
        <v>780867</v>
      </c>
      <c r="J176" s="1299">
        <f t="shared" ref="J176" si="135">I176/D176*100</f>
        <v>69.596609595450943</v>
      </c>
      <c r="K176" s="799">
        <v>0</v>
      </c>
      <c r="L176" s="1365">
        <f t="shared" si="128"/>
        <v>0</v>
      </c>
      <c r="M176" s="265">
        <f t="shared" si="129"/>
        <v>-257905</v>
      </c>
      <c r="N176" s="3309"/>
      <c r="O176" s="1244"/>
    </row>
    <row r="177" spans="1:15" ht="68.25" customHeight="1" x14ac:dyDescent="0.2">
      <c r="A177" s="3130" t="s">
        <v>54</v>
      </c>
      <c r="B177" s="831" t="s">
        <v>297</v>
      </c>
      <c r="C177" s="236" t="s">
        <v>171</v>
      </c>
      <c r="D177" s="1366"/>
      <c r="E177" s="238"/>
      <c r="F177" s="238"/>
      <c r="G177" s="238"/>
      <c r="H177" s="240"/>
      <c r="I177" s="237"/>
      <c r="J177" s="238"/>
      <c r="K177" s="238"/>
      <c r="L177" s="240"/>
      <c r="M177" s="240"/>
      <c r="N177" s="3290" t="s">
        <v>119</v>
      </c>
      <c r="O177" s="1244"/>
    </row>
    <row r="178" spans="1:15" ht="13.5" customHeight="1" x14ac:dyDescent="0.2">
      <c r="A178" s="3131"/>
      <c r="B178" s="220" t="s">
        <v>2</v>
      </c>
      <c r="C178" s="25"/>
      <c r="D178" s="770">
        <f t="shared" ref="D178:H178" si="136">+D179+D182</f>
        <v>7460883</v>
      </c>
      <c r="E178" s="234">
        <f t="shared" si="136"/>
        <v>1460883</v>
      </c>
      <c r="F178" s="234">
        <f t="shared" ref="F178" si="137">+F179+F182</f>
        <v>483500</v>
      </c>
      <c r="G178" s="234">
        <f t="shared" si="136"/>
        <v>5516500</v>
      </c>
      <c r="H178" s="744">
        <f t="shared" si="136"/>
        <v>0</v>
      </c>
      <c r="I178" s="233">
        <f>+I179+I182</f>
        <v>1828633</v>
      </c>
      <c r="J178" s="1266">
        <f t="shared" ref="J178" si="138">I178/D178*100</f>
        <v>24.509605632470045</v>
      </c>
      <c r="K178" s="742">
        <f>+K179+K182</f>
        <v>0</v>
      </c>
      <c r="L178" s="1336">
        <f>+K178/G178*100</f>
        <v>0</v>
      </c>
      <c r="M178" s="241">
        <f>+K178-G178</f>
        <v>-5516500</v>
      </c>
      <c r="N178" s="3281"/>
      <c r="O178" s="1244"/>
    </row>
    <row r="179" spans="1:15" ht="13.5" hidden="1" customHeight="1" x14ac:dyDescent="0.2">
      <c r="A179" s="3205"/>
      <c r="B179" s="1367" t="s">
        <v>17</v>
      </c>
      <c r="C179" s="3122" t="s">
        <v>120</v>
      </c>
      <c r="D179" s="1368">
        <f t="shared" ref="D179:H179" si="139">+D180+D181</f>
        <v>0</v>
      </c>
      <c r="E179" s="1369">
        <f t="shared" si="139"/>
        <v>0</v>
      </c>
      <c r="F179" s="1369">
        <f t="shared" ref="F179" si="140">+F180+F181</f>
        <v>0</v>
      </c>
      <c r="G179" s="1369">
        <f t="shared" si="139"/>
        <v>0</v>
      </c>
      <c r="H179" s="1370">
        <f t="shared" si="139"/>
        <v>0</v>
      </c>
      <c r="I179" s="1371">
        <f>+I181</f>
        <v>0</v>
      </c>
      <c r="J179" s="1372" t="e">
        <f>I179/#REF!*100</f>
        <v>#REF!</v>
      </c>
      <c r="K179" s="1373">
        <f>+K180+K181</f>
        <v>0</v>
      </c>
      <c r="L179" s="1374" t="e">
        <f>K179/#REF!*100</f>
        <v>#REF!</v>
      </c>
      <c r="M179" s="1375">
        <f t="shared" si="127"/>
        <v>0</v>
      </c>
      <c r="N179" s="3291"/>
      <c r="O179" s="1244"/>
    </row>
    <row r="180" spans="1:15" ht="13.5" hidden="1" customHeight="1" x14ac:dyDescent="0.2">
      <c r="A180" s="3130"/>
      <c r="B180" s="1376" t="s">
        <v>4</v>
      </c>
      <c r="C180" s="3315"/>
      <c r="D180" s="1377">
        <f>+E180+F180+G180+H180</f>
        <v>0</v>
      </c>
      <c r="E180" s="1378"/>
      <c r="F180" s="1378"/>
      <c r="G180" s="1378"/>
      <c r="H180" s="1379"/>
      <c r="I180" s="1380">
        <f>K180+E180+F180</f>
        <v>0</v>
      </c>
      <c r="J180" s="1381" t="e">
        <f>I180/#REF!*100</f>
        <v>#REF!</v>
      </c>
      <c r="K180" s="1382"/>
      <c r="L180" s="1383" t="e">
        <f>K180/#REF!*100</f>
        <v>#REF!</v>
      </c>
      <c r="M180" s="1384">
        <f t="shared" si="127"/>
        <v>0</v>
      </c>
      <c r="N180" s="3290"/>
      <c r="O180" s="1244"/>
    </row>
    <row r="181" spans="1:15" ht="13.5" hidden="1" customHeight="1" x14ac:dyDescent="0.2">
      <c r="A181" s="3131"/>
      <c r="B181" s="243" t="s">
        <v>7</v>
      </c>
      <c r="C181" s="3101"/>
      <c r="D181" s="770">
        <f>+E181+F181+G181+H181</f>
        <v>0</v>
      </c>
      <c r="E181" s="234">
        <v>0</v>
      </c>
      <c r="F181" s="234">
        <v>0</v>
      </c>
      <c r="G181" s="234">
        <v>0</v>
      </c>
      <c r="H181" s="744">
        <v>0</v>
      </c>
      <c r="I181" s="233">
        <v>0</v>
      </c>
      <c r="J181" s="1385" t="e">
        <f>I181/#REF!*100</f>
        <v>#REF!</v>
      </c>
      <c r="K181" s="742">
        <v>0</v>
      </c>
      <c r="L181" s="1386" t="e">
        <f>K181/#REF!*100</f>
        <v>#REF!</v>
      </c>
      <c r="M181" s="241">
        <f t="shared" si="127"/>
        <v>0</v>
      </c>
      <c r="N181" s="3281"/>
      <c r="O181" s="1244"/>
    </row>
    <row r="182" spans="1:15" ht="12.75" customHeight="1" x14ac:dyDescent="0.2">
      <c r="A182" s="3131"/>
      <c r="B182" s="253" t="s">
        <v>12</v>
      </c>
      <c r="C182" s="3101"/>
      <c r="D182" s="1351">
        <f t="shared" ref="D182:H182" si="141">+D183</f>
        <v>7460883</v>
      </c>
      <c r="E182" s="255">
        <f t="shared" si="141"/>
        <v>1460883</v>
      </c>
      <c r="F182" s="255">
        <f t="shared" si="141"/>
        <v>483500</v>
      </c>
      <c r="G182" s="255">
        <f t="shared" si="141"/>
        <v>5516500</v>
      </c>
      <c r="H182" s="1343">
        <f t="shared" si="141"/>
        <v>0</v>
      </c>
      <c r="I182" s="254">
        <f>+I183</f>
        <v>1828633</v>
      </c>
      <c r="J182" s="1298">
        <f t="shared" ref="J182:J184" si="142">I182/D182*100</f>
        <v>24.509605632470045</v>
      </c>
      <c r="K182" s="1348">
        <f>+K183</f>
        <v>0</v>
      </c>
      <c r="L182" s="1362">
        <f>+K182/G182*100</f>
        <v>0</v>
      </c>
      <c r="M182" s="259">
        <f>+K182-G182</f>
        <v>-5516500</v>
      </c>
      <c r="N182" s="3281"/>
      <c r="O182" s="1244"/>
    </row>
    <row r="183" spans="1:15" ht="13.5" customHeight="1" x14ac:dyDescent="0.2">
      <c r="A183" s="3131"/>
      <c r="B183" s="243" t="s">
        <v>14</v>
      </c>
      <c r="C183" s="3101"/>
      <c r="D183" s="1190">
        <f>+E183+F183+G183+H183</f>
        <v>7460883</v>
      </c>
      <c r="E183" s="853">
        <v>1460883</v>
      </c>
      <c r="F183" s="853">
        <v>483500</v>
      </c>
      <c r="G183" s="853">
        <v>5516500</v>
      </c>
      <c r="H183" s="1344">
        <v>0</v>
      </c>
      <c r="I183" s="244">
        <f>K183+E183+F183-115750</f>
        <v>1828633</v>
      </c>
      <c r="J183" s="1305">
        <f t="shared" si="142"/>
        <v>24.509605632470045</v>
      </c>
      <c r="K183" s="1387">
        <v>0</v>
      </c>
      <c r="L183" s="1363">
        <f>+K183/G183*100</f>
        <v>0</v>
      </c>
      <c r="M183" s="1191">
        <f>+K183-G183</f>
        <v>-5516500</v>
      </c>
      <c r="N183" s="3281"/>
      <c r="O183" s="1244"/>
    </row>
    <row r="184" spans="1:15" ht="13.5" customHeight="1" x14ac:dyDescent="0.2">
      <c r="A184" s="3132"/>
      <c r="B184" s="220" t="s">
        <v>16</v>
      </c>
      <c r="C184" s="25"/>
      <c r="D184" s="233">
        <f t="shared" ref="D184:H184" si="143">+D185+D187</f>
        <v>7460883</v>
      </c>
      <c r="E184" s="234">
        <f t="shared" si="143"/>
        <v>1440142</v>
      </c>
      <c r="F184" s="234">
        <f t="shared" ref="F184" si="144">+F185+F187</f>
        <v>483500</v>
      </c>
      <c r="G184" s="234">
        <f t="shared" si="143"/>
        <v>5537241</v>
      </c>
      <c r="H184" s="744">
        <f t="shared" si="143"/>
        <v>0</v>
      </c>
      <c r="I184" s="233">
        <f t="shared" ref="I184:I188" si="145">K184+E184+F184</f>
        <v>1995392</v>
      </c>
      <c r="J184" s="1266">
        <f t="shared" si="142"/>
        <v>26.744716409572433</v>
      </c>
      <c r="K184" s="742">
        <f>+K185+K187</f>
        <v>71750</v>
      </c>
      <c r="L184" s="1336">
        <f>+K184/G184*100</f>
        <v>1.2957716667921804</v>
      </c>
      <c r="M184" s="241">
        <f>+K184-G184</f>
        <v>-5465491</v>
      </c>
      <c r="N184" s="3308"/>
      <c r="O184" s="1244"/>
    </row>
    <row r="185" spans="1:15" ht="13.5" hidden="1" customHeight="1" x14ac:dyDescent="0.2">
      <c r="A185" s="3132"/>
      <c r="B185" s="242" t="s">
        <v>17</v>
      </c>
      <c r="C185" s="3208" t="s">
        <v>328</v>
      </c>
      <c r="D185" s="1388">
        <f t="shared" ref="D185:H185" si="146">+D186</f>
        <v>0</v>
      </c>
      <c r="E185" s="257">
        <f t="shared" si="146"/>
        <v>0</v>
      </c>
      <c r="F185" s="1385">
        <f t="shared" si="146"/>
        <v>0</v>
      </c>
      <c r="G185" s="1385">
        <f t="shared" si="146"/>
        <v>0</v>
      </c>
      <c r="H185" s="208">
        <f t="shared" si="146"/>
        <v>0</v>
      </c>
      <c r="I185" s="1388">
        <f t="shared" si="145"/>
        <v>0</v>
      </c>
      <c r="J185" s="1385" t="e">
        <f>I185/#REF!*100</f>
        <v>#REF!</v>
      </c>
      <c r="K185" s="1389">
        <f>+K186</f>
        <v>0</v>
      </c>
      <c r="L185" s="1386" t="e">
        <f>K185/#REF!*100</f>
        <v>#REF!</v>
      </c>
      <c r="M185" s="1386">
        <f t="shared" si="127"/>
        <v>0</v>
      </c>
      <c r="N185" s="3308"/>
      <c r="O185" s="1244"/>
    </row>
    <row r="186" spans="1:15" ht="13.5" hidden="1" customHeight="1" x14ac:dyDescent="0.2">
      <c r="A186" s="3132"/>
      <c r="B186" s="243" t="s">
        <v>7</v>
      </c>
      <c r="C186" s="3101"/>
      <c r="D186" s="1388">
        <f>+E186+F186+G186+H186</f>
        <v>0</v>
      </c>
      <c r="E186" s="260"/>
      <c r="F186" s="1385"/>
      <c r="G186" s="1385"/>
      <c r="H186" s="208">
        <v>0</v>
      </c>
      <c r="I186" s="1388">
        <f t="shared" si="145"/>
        <v>0</v>
      </c>
      <c r="J186" s="1385" t="e">
        <f>I186/#REF!*100</f>
        <v>#REF!</v>
      </c>
      <c r="K186" s="1389">
        <v>0</v>
      </c>
      <c r="L186" s="1386" t="e">
        <f>K186/#REF!*100</f>
        <v>#REF!</v>
      </c>
      <c r="M186" s="1386">
        <f t="shared" si="127"/>
        <v>0</v>
      </c>
      <c r="N186" s="3308"/>
      <c r="O186" s="1244"/>
    </row>
    <row r="187" spans="1:15" ht="12" customHeight="1" x14ac:dyDescent="0.2">
      <c r="A187" s="3132"/>
      <c r="B187" s="253" t="s">
        <v>12</v>
      </c>
      <c r="C187" s="3209"/>
      <c r="D187" s="254">
        <f t="shared" ref="D187:H187" si="147">+D188</f>
        <v>7460883</v>
      </c>
      <c r="E187" s="255">
        <f t="shared" si="147"/>
        <v>1440142</v>
      </c>
      <c r="F187" s="255">
        <f t="shared" si="147"/>
        <v>483500</v>
      </c>
      <c r="G187" s="255">
        <f t="shared" si="147"/>
        <v>5537241</v>
      </c>
      <c r="H187" s="1343">
        <f t="shared" si="147"/>
        <v>0</v>
      </c>
      <c r="I187" s="254">
        <f t="shared" si="145"/>
        <v>1995392</v>
      </c>
      <c r="J187" s="1298">
        <f t="shared" ref="J187:J188" si="148">I187/D187*100</f>
        <v>26.744716409572433</v>
      </c>
      <c r="K187" s="1348">
        <f>+K188</f>
        <v>71750</v>
      </c>
      <c r="L187" s="1362">
        <f>+K187/G187*100</f>
        <v>1.2957716667921804</v>
      </c>
      <c r="M187" s="259">
        <f>+K187-G187</f>
        <v>-5465491</v>
      </c>
      <c r="N187" s="3308"/>
      <c r="O187" s="1244"/>
    </row>
    <row r="188" spans="1:15" ht="11.25" customHeight="1" thickBot="1" x14ac:dyDescent="0.25">
      <c r="A188" s="3133"/>
      <c r="B188" s="828" t="s">
        <v>14</v>
      </c>
      <c r="C188" s="3210"/>
      <c r="D188" s="262">
        <f>+E188+F188+G188+H188</f>
        <v>7460883</v>
      </c>
      <c r="E188" s="799">
        <v>1440142</v>
      </c>
      <c r="F188" s="283">
        <v>483500</v>
      </c>
      <c r="G188" s="283">
        <v>5537241</v>
      </c>
      <c r="H188" s="1390">
        <v>0</v>
      </c>
      <c r="I188" s="262">
        <f t="shared" si="145"/>
        <v>1995392</v>
      </c>
      <c r="J188" s="1299">
        <f t="shared" si="148"/>
        <v>26.744716409572433</v>
      </c>
      <c r="K188" s="1391">
        <v>71750</v>
      </c>
      <c r="L188" s="1365">
        <f>+K188/G188*100</f>
        <v>1.2957716667921804</v>
      </c>
      <c r="M188" s="421">
        <f>+K188-G188</f>
        <v>-5465491</v>
      </c>
      <c r="N188" s="3309"/>
      <c r="O188" s="1244"/>
    </row>
    <row r="189" spans="1:15" ht="41.25" customHeight="1" x14ac:dyDescent="0.2">
      <c r="A189" s="3130" t="s">
        <v>55</v>
      </c>
      <c r="B189" s="831" t="s">
        <v>298</v>
      </c>
      <c r="C189" s="236" t="s">
        <v>171</v>
      </c>
      <c r="D189" s="237"/>
      <c r="E189" s="238"/>
      <c r="F189" s="240"/>
      <c r="G189" s="238"/>
      <c r="H189" s="1291"/>
      <c r="I189" s="237"/>
      <c r="J189" s="238"/>
      <c r="K189" s="238"/>
      <c r="L189" s="240"/>
      <c r="M189" s="240"/>
      <c r="N189" s="3290" t="s">
        <v>119</v>
      </c>
      <c r="O189" s="1244"/>
    </row>
    <row r="190" spans="1:15" ht="13.5" customHeight="1" x14ac:dyDescent="0.2">
      <c r="A190" s="3131"/>
      <c r="B190" s="220" t="s">
        <v>2</v>
      </c>
      <c r="C190" s="25"/>
      <c r="D190" s="233">
        <f t="shared" ref="D190:I190" si="149">+D191+D194</f>
        <v>919301</v>
      </c>
      <c r="E190" s="234">
        <f t="shared" si="149"/>
        <v>219301</v>
      </c>
      <c r="F190" s="234">
        <f t="shared" ref="F190" si="150">+F191+F194</f>
        <v>130000</v>
      </c>
      <c r="G190" s="234">
        <f t="shared" si="149"/>
        <v>570000</v>
      </c>
      <c r="H190" s="744">
        <f t="shared" si="149"/>
        <v>0</v>
      </c>
      <c r="I190" s="233">
        <f t="shared" si="149"/>
        <v>321410</v>
      </c>
      <c r="J190" s="1266">
        <f t="shared" ref="J190" si="151">I190/D190*100</f>
        <v>34.962433414083094</v>
      </c>
      <c r="K190" s="234">
        <f>+K191+K194</f>
        <v>0</v>
      </c>
      <c r="L190" s="1336">
        <f>+K190/G190*100</f>
        <v>0</v>
      </c>
      <c r="M190" s="241">
        <f>+K190-G190</f>
        <v>-570000</v>
      </c>
      <c r="N190" s="3281"/>
      <c r="O190" s="1244"/>
    </row>
    <row r="191" spans="1:15" ht="13.5" hidden="1" customHeight="1" x14ac:dyDescent="0.2">
      <c r="A191" s="3131"/>
      <c r="B191" s="242" t="s">
        <v>17</v>
      </c>
      <c r="C191" s="3100" t="s">
        <v>120</v>
      </c>
      <c r="D191" s="208">
        <f t="shared" ref="D191:H191" si="152">+D192+D193</f>
        <v>0</v>
      </c>
      <c r="E191" s="944">
        <f t="shared" si="152"/>
        <v>0</v>
      </c>
      <c r="F191" s="1385">
        <f t="shared" ref="F191" si="153">+F192+F193</f>
        <v>0</v>
      </c>
      <c r="G191" s="1385">
        <f t="shared" si="152"/>
        <v>0</v>
      </c>
      <c r="H191" s="208">
        <f t="shared" si="152"/>
        <v>0</v>
      </c>
      <c r="I191" s="1388">
        <f>+I193</f>
        <v>0</v>
      </c>
      <c r="J191" s="1385" t="e">
        <f>I191/#REF!*100</f>
        <v>#REF!</v>
      </c>
      <c r="K191" s="1385">
        <f>+K192+K193</f>
        <v>0</v>
      </c>
      <c r="L191" s="1386" t="e">
        <f>K191/#REF!*100</f>
        <v>#REF!</v>
      </c>
      <c r="M191" s="1386">
        <f t="shared" si="127"/>
        <v>0</v>
      </c>
      <c r="N191" s="3281"/>
      <c r="O191" s="1244"/>
    </row>
    <row r="192" spans="1:15" ht="13.5" hidden="1" customHeight="1" x14ac:dyDescent="0.2">
      <c r="A192" s="3131"/>
      <c r="B192" s="243" t="s">
        <v>4</v>
      </c>
      <c r="C192" s="3101"/>
      <c r="D192" s="208">
        <f>+E192+F192+G192+H192</f>
        <v>0</v>
      </c>
      <c r="E192" s="260"/>
      <c r="F192" s="1385"/>
      <c r="G192" s="1385"/>
      <c r="H192" s="208"/>
      <c r="I192" s="1388">
        <f>K192+E192+F192</f>
        <v>0</v>
      </c>
      <c r="J192" s="1385" t="e">
        <f>I192/#REF!*100</f>
        <v>#REF!</v>
      </c>
      <c r="K192" s="1385"/>
      <c r="L192" s="1386" t="e">
        <f>K192/#REF!*100</f>
        <v>#REF!</v>
      </c>
      <c r="M192" s="1386">
        <f t="shared" si="127"/>
        <v>0</v>
      </c>
      <c r="N192" s="3281"/>
      <c r="O192" s="1244"/>
    </row>
    <row r="193" spans="1:15" ht="13.5" hidden="1" customHeight="1" x14ac:dyDescent="0.2">
      <c r="A193" s="3131"/>
      <c r="B193" s="243" t="s">
        <v>7</v>
      </c>
      <c r="C193" s="3101"/>
      <c r="D193" s="208">
        <f>+E193+F193+G193+H193</f>
        <v>0</v>
      </c>
      <c r="E193" s="260">
        <v>0</v>
      </c>
      <c r="F193" s="1385">
        <v>0</v>
      </c>
      <c r="G193" s="1385">
        <v>0</v>
      </c>
      <c r="H193" s="208">
        <v>0</v>
      </c>
      <c r="I193" s="1388">
        <v>0</v>
      </c>
      <c r="J193" s="1385" t="e">
        <f>I193/#REF!*100</f>
        <v>#REF!</v>
      </c>
      <c r="K193" s="1385">
        <v>0</v>
      </c>
      <c r="L193" s="1386" t="e">
        <f>K193/#REF!*100</f>
        <v>#REF!</v>
      </c>
      <c r="M193" s="1386">
        <f t="shared" si="127"/>
        <v>0</v>
      </c>
      <c r="N193" s="3281"/>
      <c r="O193" s="1244"/>
    </row>
    <row r="194" spans="1:15" x14ac:dyDescent="0.2">
      <c r="A194" s="3131"/>
      <c r="B194" s="253" t="s">
        <v>12</v>
      </c>
      <c r="C194" s="3101"/>
      <c r="D194" s="254">
        <f t="shared" ref="D194:H194" si="154">+D195</f>
        <v>919301</v>
      </c>
      <c r="E194" s="255">
        <f t="shared" si="154"/>
        <v>219301</v>
      </c>
      <c r="F194" s="255">
        <f t="shared" si="154"/>
        <v>130000</v>
      </c>
      <c r="G194" s="255">
        <f t="shared" si="154"/>
        <v>570000</v>
      </c>
      <c r="H194" s="1343">
        <f t="shared" si="154"/>
        <v>0</v>
      </c>
      <c r="I194" s="254">
        <f>+I195</f>
        <v>321410</v>
      </c>
      <c r="J194" s="1298">
        <f t="shared" ref="J194:J196" si="155">I194/D194*100</f>
        <v>34.962433414083094</v>
      </c>
      <c r="K194" s="255">
        <f>+K195</f>
        <v>0</v>
      </c>
      <c r="L194" s="1362">
        <f>+K194/G194*100</f>
        <v>0</v>
      </c>
      <c r="M194" s="259">
        <f>+K194-G194</f>
        <v>-570000</v>
      </c>
      <c r="N194" s="3281"/>
      <c r="O194" s="1244"/>
    </row>
    <row r="195" spans="1:15" x14ac:dyDescent="0.2">
      <c r="A195" s="3131"/>
      <c r="B195" s="243" t="s">
        <v>14</v>
      </c>
      <c r="C195" s="3101"/>
      <c r="D195" s="244">
        <f>+E195+F195+G195+H195</f>
        <v>919301</v>
      </c>
      <c r="E195" s="853">
        <v>219301</v>
      </c>
      <c r="F195" s="853">
        <v>130000</v>
      </c>
      <c r="G195" s="853">
        <v>570000</v>
      </c>
      <c r="H195" s="1344">
        <v>0</v>
      </c>
      <c r="I195" s="244">
        <f>K195+E195+F195-27891</f>
        <v>321410</v>
      </c>
      <c r="J195" s="1305">
        <f t="shared" si="155"/>
        <v>34.962433414083094</v>
      </c>
      <c r="K195" s="853">
        <v>0</v>
      </c>
      <c r="L195" s="1363">
        <f>+K195/G195*100</f>
        <v>0</v>
      </c>
      <c r="M195" s="1191">
        <f>+K195-G195</f>
        <v>-570000</v>
      </c>
      <c r="N195" s="3281"/>
      <c r="O195" s="1244"/>
    </row>
    <row r="196" spans="1:15" ht="13.5" customHeight="1" x14ac:dyDescent="0.2">
      <c r="A196" s="3132"/>
      <c r="B196" s="220" t="s">
        <v>16</v>
      </c>
      <c r="C196" s="25"/>
      <c r="D196" s="233">
        <f>+D197+D199</f>
        <v>919301</v>
      </c>
      <c r="E196" s="287">
        <f t="shared" ref="E196:H196" si="156">+E197+E199</f>
        <v>0</v>
      </c>
      <c r="F196" s="234">
        <f t="shared" ref="F196" si="157">+F197+F199</f>
        <v>130000</v>
      </c>
      <c r="G196" s="234">
        <f t="shared" si="156"/>
        <v>789301</v>
      </c>
      <c r="H196" s="744">
        <f t="shared" si="156"/>
        <v>0</v>
      </c>
      <c r="I196" s="233">
        <f t="shared" ref="I196:I200" si="158">K196+E196+F196</f>
        <v>130000</v>
      </c>
      <c r="J196" s="1392">
        <f t="shared" si="155"/>
        <v>14.141179004482755</v>
      </c>
      <c r="K196" s="234">
        <f>+K197+K199</f>
        <v>0</v>
      </c>
      <c r="L196" s="1393">
        <f>+K196/G196*100</f>
        <v>0</v>
      </c>
      <c r="M196" s="241">
        <f>+K196-G196</f>
        <v>-789301</v>
      </c>
      <c r="N196" s="3308"/>
      <c r="O196" s="1244"/>
    </row>
    <row r="197" spans="1:15" ht="13.5" hidden="1" customHeight="1" x14ac:dyDescent="0.2">
      <c r="A197" s="3132"/>
      <c r="B197" s="242" t="s">
        <v>17</v>
      </c>
      <c r="C197" s="3208" t="s">
        <v>328</v>
      </c>
      <c r="D197" s="208">
        <f t="shared" ref="D197:H197" si="159">+D198</f>
        <v>0</v>
      </c>
      <c r="E197" s="257">
        <f t="shared" si="159"/>
        <v>0</v>
      </c>
      <c r="F197" s="1385">
        <f t="shared" si="159"/>
        <v>0</v>
      </c>
      <c r="G197" s="1385">
        <f t="shared" si="159"/>
        <v>0</v>
      </c>
      <c r="H197" s="208">
        <f t="shared" si="159"/>
        <v>0</v>
      </c>
      <c r="I197" s="1388">
        <f t="shared" si="158"/>
        <v>0</v>
      </c>
      <c r="J197" s="1298" t="e">
        <f>I197/#REF!*100</f>
        <v>#REF!</v>
      </c>
      <c r="K197" s="1385">
        <f>+K198</f>
        <v>0</v>
      </c>
      <c r="L197" s="1362" t="e">
        <f>K197/#REF!*100</f>
        <v>#REF!</v>
      </c>
      <c r="M197" s="1386">
        <f t="shared" si="127"/>
        <v>0</v>
      </c>
      <c r="N197" s="3308"/>
      <c r="O197" s="1244"/>
    </row>
    <row r="198" spans="1:15" ht="13.5" hidden="1" customHeight="1" x14ac:dyDescent="0.2">
      <c r="A198" s="3132"/>
      <c r="B198" s="243" t="s">
        <v>7</v>
      </c>
      <c r="C198" s="3101"/>
      <c r="D198" s="208">
        <f>+E198+F198+G198+H198</f>
        <v>0</v>
      </c>
      <c r="E198" s="260">
        <v>0</v>
      </c>
      <c r="F198" s="1385">
        <v>0</v>
      </c>
      <c r="G198" s="1385">
        <v>0</v>
      </c>
      <c r="H198" s="208">
        <v>0</v>
      </c>
      <c r="I198" s="1388">
        <f t="shared" si="158"/>
        <v>0</v>
      </c>
      <c r="J198" s="1305" t="e">
        <f>I198/#REF!*100</f>
        <v>#REF!</v>
      </c>
      <c r="K198" s="1385">
        <v>0</v>
      </c>
      <c r="L198" s="1363" t="e">
        <f>K198/#REF!*100</f>
        <v>#REF!</v>
      </c>
      <c r="M198" s="1386">
        <f t="shared" si="127"/>
        <v>0</v>
      </c>
      <c r="N198" s="3308"/>
      <c r="O198" s="1244"/>
    </row>
    <row r="199" spans="1:15" x14ac:dyDescent="0.2">
      <c r="A199" s="3132"/>
      <c r="B199" s="253" t="s">
        <v>12</v>
      </c>
      <c r="C199" s="3209"/>
      <c r="D199" s="254">
        <f t="shared" ref="D199:H199" si="160">+D200</f>
        <v>919301</v>
      </c>
      <c r="E199" s="257">
        <f t="shared" si="160"/>
        <v>0</v>
      </c>
      <c r="F199" s="255">
        <f t="shared" si="160"/>
        <v>130000</v>
      </c>
      <c r="G199" s="255">
        <f t="shared" si="160"/>
        <v>789301</v>
      </c>
      <c r="H199" s="1343">
        <f t="shared" si="160"/>
        <v>0</v>
      </c>
      <c r="I199" s="254">
        <f t="shared" si="158"/>
        <v>130000</v>
      </c>
      <c r="J199" s="1298">
        <f t="shared" ref="J199:J200" si="161">I199/D199*100</f>
        <v>14.141179004482755</v>
      </c>
      <c r="K199" s="255">
        <f>+K200</f>
        <v>0</v>
      </c>
      <c r="L199" s="1362">
        <f>+K199/G199*100</f>
        <v>0</v>
      </c>
      <c r="M199" s="259">
        <f>+K199-G199</f>
        <v>-789301</v>
      </c>
      <c r="N199" s="3308"/>
      <c r="O199" s="1244"/>
    </row>
    <row r="200" spans="1:15" ht="13.5" thickBot="1" x14ac:dyDescent="0.25">
      <c r="A200" s="3133"/>
      <c r="B200" s="828" t="s">
        <v>14</v>
      </c>
      <c r="C200" s="3210"/>
      <c r="D200" s="262">
        <f>+E200+F200+G200+H200</f>
        <v>919301</v>
      </c>
      <c r="E200" s="819">
        <v>0</v>
      </c>
      <c r="F200" s="283">
        <v>130000</v>
      </c>
      <c r="G200" s="283">
        <v>789301</v>
      </c>
      <c r="H200" s="1390">
        <v>0</v>
      </c>
      <c r="I200" s="262">
        <f t="shared" si="158"/>
        <v>130000</v>
      </c>
      <c r="J200" s="1299">
        <f t="shared" si="161"/>
        <v>14.141179004482755</v>
      </c>
      <c r="K200" s="283">
        <v>0</v>
      </c>
      <c r="L200" s="1365">
        <f>+K200/G200*100</f>
        <v>0</v>
      </c>
      <c r="M200" s="421">
        <f>+K200-G200</f>
        <v>-789301</v>
      </c>
      <c r="N200" s="3309"/>
      <c r="O200" s="1244"/>
    </row>
    <row r="201" spans="1:15" ht="51" x14ac:dyDescent="0.2">
      <c r="A201" s="3329" t="s">
        <v>317</v>
      </c>
      <c r="B201" s="1308" t="s">
        <v>327</v>
      </c>
      <c r="C201" s="3015" t="s">
        <v>304</v>
      </c>
      <c r="D201" s="3017"/>
      <c r="E201" s="1394"/>
      <c r="F201" s="1394"/>
      <c r="G201" s="1394"/>
      <c r="H201" s="1394"/>
      <c r="I201" s="1394"/>
      <c r="J201" s="1394"/>
      <c r="K201" s="1394"/>
      <c r="L201" s="1394"/>
      <c r="M201" s="1394"/>
      <c r="N201" s="3290" t="s">
        <v>280</v>
      </c>
    </row>
    <row r="202" spans="1:15" x14ac:dyDescent="0.2">
      <c r="A202" s="3330"/>
      <c r="B202" s="3008" t="s">
        <v>2</v>
      </c>
      <c r="C202" s="3016"/>
      <c r="D202" s="3018">
        <f t="shared" ref="D202" si="162">+D203+D206</f>
        <v>544168</v>
      </c>
      <c r="E202" s="1395"/>
      <c r="F202" s="1395">
        <f>+F203</f>
        <v>11050</v>
      </c>
      <c r="G202" s="1395">
        <f t="shared" ref="G202:I202" si="163">+G203+G206</f>
        <v>533118</v>
      </c>
      <c r="H202" s="1395">
        <f t="shared" si="163"/>
        <v>0</v>
      </c>
      <c r="I202" s="1395">
        <f t="shared" si="163"/>
        <v>416</v>
      </c>
      <c r="J202" s="1396">
        <f t="shared" ref="J202" si="164">I202/D202*100</f>
        <v>7.6446979609238325E-2</v>
      </c>
      <c r="K202" s="1395">
        <f>+K203+K206</f>
        <v>416</v>
      </c>
      <c r="L202" s="1396">
        <f>+K202/G202*100</f>
        <v>7.8031505220232666E-2</v>
      </c>
      <c r="M202" s="1395">
        <f>+K202-G202</f>
        <v>-532702</v>
      </c>
      <c r="N202" s="3281"/>
    </row>
    <row r="203" spans="1:15" x14ac:dyDescent="0.2">
      <c r="A203" s="3330"/>
      <c r="B203" s="3009" t="s">
        <v>17</v>
      </c>
      <c r="C203" s="3334" t="s">
        <v>326</v>
      </c>
      <c r="D203" s="2669">
        <f t="shared" ref="D203" si="165">+D204+D205</f>
        <v>46168</v>
      </c>
      <c r="E203" s="1397"/>
      <c r="F203" s="1397">
        <f>+F204</f>
        <v>11050</v>
      </c>
      <c r="G203" s="1397">
        <f t="shared" ref="G203:H203" si="166">+G204+G205</f>
        <v>35118</v>
      </c>
      <c r="H203" s="1397">
        <f t="shared" si="166"/>
        <v>0</v>
      </c>
      <c r="I203" s="1397">
        <f>+I205+I204</f>
        <v>416</v>
      </c>
      <c r="J203" s="1398">
        <f>I203/D203*100</f>
        <v>0.90105700918385023</v>
      </c>
      <c r="K203" s="1397">
        <f>+K204+K205</f>
        <v>416</v>
      </c>
      <c r="L203" s="1398">
        <f>+K203/G203*100</f>
        <v>1.184577709436756</v>
      </c>
      <c r="M203" s="1397">
        <f>+K203-G203</f>
        <v>-34702</v>
      </c>
      <c r="N203" s="3281"/>
    </row>
    <row r="204" spans="1:15" x14ac:dyDescent="0.2">
      <c r="A204" s="3330"/>
      <c r="B204" s="3010" t="s">
        <v>4</v>
      </c>
      <c r="C204" s="3335"/>
      <c r="D204" s="3019">
        <f>+E204+F204+G204+H204</f>
        <v>46168</v>
      </c>
      <c r="E204" s="1399"/>
      <c r="F204" s="1399">
        <v>11050</v>
      </c>
      <c r="G204" s="1399">
        <v>35118</v>
      </c>
      <c r="H204" s="1399">
        <v>0</v>
      </c>
      <c r="I204" s="1399">
        <f>K204+E204+F204-11050</f>
        <v>416</v>
      </c>
      <c r="J204" s="1400">
        <f>I204/D204*100</f>
        <v>0.90105700918385023</v>
      </c>
      <c r="K204" s="1399">
        <v>416</v>
      </c>
      <c r="L204" s="1400">
        <f>+K204/G204*100</f>
        <v>1.184577709436756</v>
      </c>
      <c r="M204" s="1399">
        <f>+K204-G204</f>
        <v>-34702</v>
      </c>
      <c r="N204" s="3281"/>
    </row>
    <row r="205" spans="1:15" ht="12.75" hidden="1" customHeight="1" x14ac:dyDescent="0.2">
      <c r="A205" s="3330"/>
      <c r="B205" s="3010" t="s">
        <v>7</v>
      </c>
      <c r="C205" s="3335"/>
      <c r="D205" s="3019">
        <f>+E205+F205+G205+H205</f>
        <v>0</v>
      </c>
      <c r="E205" s="1399"/>
      <c r="F205" s="1399"/>
      <c r="G205" s="1399">
        <v>0</v>
      </c>
      <c r="H205" s="1399"/>
      <c r="I205" s="1399"/>
      <c r="J205" s="1400"/>
      <c r="K205" s="1399"/>
      <c r="L205" s="1399"/>
      <c r="M205" s="1399"/>
      <c r="N205" s="3281"/>
    </row>
    <row r="206" spans="1:15" x14ac:dyDescent="0.2">
      <c r="A206" s="3330"/>
      <c r="B206" s="3011" t="s">
        <v>12</v>
      </c>
      <c r="C206" s="3335"/>
      <c r="D206" s="3020">
        <f t="shared" ref="D206" si="167">+D207</f>
        <v>498000</v>
      </c>
      <c r="E206" s="1401"/>
      <c r="F206" s="1401">
        <f>+F207</f>
        <v>0</v>
      </c>
      <c r="G206" s="1401">
        <f t="shared" ref="G206:H206" si="168">+G207</f>
        <v>498000</v>
      </c>
      <c r="H206" s="1401">
        <f t="shared" si="168"/>
        <v>0</v>
      </c>
      <c r="I206" s="1401">
        <f>+I207</f>
        <v>0</v>
      </c>
      <c r="J206" s="1402">
        <f t="shared" ref="J206:J208" si="169">I206/D206*100</f>
        <v>0</v>
      </c>
      <c r="K206" s="1401">
        <f>+K207</f>
        <v>0</v>
      </c>
      <c r="L206" s="1403">
        <v>0</v>
      </c>
      <c r="M206" s="1401">
        <f>+K206-G206</f>
        <v>-498000</v>
      </c>
      <c r="N206" s="3281"/>
    </row>
    <row r="207" spans="1:15" x14ac:dyDescent="0.2">
      <c r="A207" s="3330"/>
      <c r="B207" s="3012" t="s">
        <v>14</v>
      </c>
      <c r="C207" s="3335"/>
      <c r="D207" s="3019">
        <f>+E207+F207+G207+H207</f>
        <v>498000</v>
      </c>
      <c r="E207" s="1399"/>
      <c r="F207" s="1399">
        <v>0</v>
      </c>
      <c r="G207" s="1399">
        <v>498000</v>
      </c>
      <c r="H207" s="1399">
        <v>0</v>
      </c>
      <c r="I207" s="1399">
        <f t="shared" ref="I207:I208" si="170">K207+E207+F207</f>
        <v>0</v>
      </c>
      <c r="J207" s="1400">
        <f t="shared" si="169"/>
        <v>0</v>
      </c>
      <c r="K207" s="1399">
        <v>0</v>
      </c>
      <c r="L207" s="1404">
        <v>0</v>
      </c>
      <c r="M207" s="1399">
        <f>+K207-G207</f>
        <v>-498000</v>
      </c>
      <c r="N207" s="3281"/>
    </row>
    <row r="208" spans="1:15" x14ac:dyDescent="0.2">
      <c r="A208" s="3331"/>
      <c r="B208" s="3013" t="s">
        <v>16</v>
      </c>
      <c r="C208" s="3016"/>
      <c r="D208" s="3021">
        <f>+D209+D211</f>
        <v>498000</v>
      </c>
      <c r="E208" s="1405"/>
      <c r="F208" s="1405">
        <f>+F211</f>
        <v>0</v>
      </c>
      <c r="G208" s="1405">
        <f t="shared" ref="G208:H208" si="171">+G209+G211</f>
        <v>498000</v>
      </c>
      <c r="H208" s="1405">
        <f t="shared" si="171"/>
        <v>0</v>
      </c>
      <c r="I208" s="1405">
        <f t="shared" si="170"/>
        <v>0</v>
      </c>
      <c r="J208" s="1406">
        <f t="shared" si="169"/>
        <v>0</v>
      </c>
      <c r="K208" s="1405">
        <f>+K209+K211</f>
        <v>0</v>
      </c>
      <c r="L208" s="1407">
        <v>0</v>
      </c>
      <c r="M208" s="1405">
        <f>+K208-G208</f>
        <v>-498000</v>
      </c>
      <c r="N208" s="3308"/>
    </row>
    <row r="209" spans="1:14" hidden="1" x14ac:dyDescent="0.2">
      <c r="A209" s="3332"/>
      <c r="B209" s="3009" t="s">
        <v>17</v>
      </c>
      <c r="C209" s="3336" t="s">
        <v>198</v>
      </c>
      <c r="D209" s="3022">
        <f t="shared" ref="D209" si="172">+D210</f>
        <v>0</v>
      </c>
      <c r="E209" s="1408"/>
      <c r="F209" s="1408"/>
      <c r="G209" s="1408"/>
      <c r="H209" s="1408"/>
      <c r="I209" s="1408"/>
      <c r="J209" s="1409"/>
      <c r="K209" s="1408"/>
      <c r="L209" s="1410"/>
      <c r="M209" s="1408"/>
      <c r="N209" s="3308"/>
    </row>
    <row r="210" spans="1:14" hidden="1" x14ac:dyDescent="0.2">
      <c r="A210" s="3332"/>
      <c r="B210" s="3010" t="s">
        <v>7</v>
      </c>
      <c r="C210" s="3335"/>
      <c r="D210" s="3019">
        <f>+E210+F210+G210+H210</f>
        <v>0</v>
      </c>
      <c r="E210" s="1399"/>
      <c r="F210" s="1399"/>
      <c r="G210" s="1399"/>
      <c r="H210" s="1399"/>
      <c r="I210" s="1399"/>
      <c r="J210" s="1400"/>
      <c r="K210" s="1399"/>
      <c r="L210" s="1404"/>
      <c r="M210" s="1399"/>
      <c r="N210" s="3308"/>
    </row>
    <row r="211" spans="1:14" x14ac:dyDescent="0.2">
      <c r="A211" s="3332"/>
      <c r="B211" s="3011" t="s">
        <v>12</v>
      </c>
      <c r="C211" s="3337"/>
      <c r="D211" s="3020">
        <f t="shared" ref="D211" si="173">+D212</f>
        <v>498000</v>
      </c>
      <c r="E211" s="1401"/>
      <c r="F211" s="1401">
        <f>+F212</f>
        <v>0</v>
      </c>
      <c r="G211" s="1401">
        <f t="shared" ref="G211:H211" si="174">+G212</f>
        <v>498000</v>
      </c>
      <c r="H211" s="1401">
        <f t="shared" si="174"/>
        <v>0</v>
      </c>
      <c r="I211" s="1401">
        <f t="shared" ref="I211" si="175">K211+E211+F211</f>
        <v>0</v>
      </c>
      <c r="J211" s="1402">
        <f t="shared" ref="J211" si="176">I211/D211*100</f>
        <v>0</v>
      </c>
      <c r="K211" s="1401">
        <f>+K212</f>
        <v>0</v>
      </c>
      <c r="L211" s="1403">
        <v>0</v>
      </c>
      <c r="M211" s="1401">
        <f>+K211-G211</f>
        <v>-498000</v>
      </c>
      <c r="N211" s="3308"/>
    </row>
    <row r="212" spans="1:14" ht="13.5" thickBot="1" x14ac:dyDescent="0.25">
      <c r="A212" s="3333"/>
      <c r="B212" s="3014" t="s">
        <v>14</v>
      </c>
      <c r="C212" s="3338"/>
      <c r="D212" s="3023">
        <f>+E212+F212+G212+H212</f>
        <v>498000</v>
      </c>
      <c r="E212" s="1411"/>
      <c r="F212" s="1411">
        <v>0</v>
      </c>
      <c r="G212" s="1411">
        <v>498000</v>
      </c>
      <c r="H212" s="1411">
        <v>0</v>
      </c>
      <c r="I212" s="1411">
        <f t="shared" ref="I212" si="177">K212+E212+F212</f>
        <v>0</v>
      </c>
      <c r="J212" s="1412">
        <f t="shared" ref="J212" si="178">I212/D212*100</f>
        <v>0</v>
      </c>
      <c r="K212" s="1411">
        <f>+K213</f>
        <v>0</v>
      </c>
      <c r="L212" s="1413">
        <v>0</v>
      </c>
      <c r="M212" s="1411">
        <f>+K212-G212</f>
        <v>-498000</v>
      </c>
      <c r="N212" s="3309"/>
    </row>
    <row r="213" spans="1:14" x14ac:dyDescent="0.2">
      <c r="A213" s="1414"/>
      <c r="B213" s="1415"/>
      <c r="C213" s="1416"/>
      <c r="D213" s="1415"/>
      <c r="E213" s="1415"/>
      <c r="F213" s="1415"/>
      <c r="G213" s="1415"/>
      <c r="H213" s="1415"/>
      <c r="I213" s="1415"/>
      <c r="J213" s="1415"/>
      <c r="K213" s="1415"/>
      <c r="L213" s="1415"/>
      <c r="M213" s="1415"/>
      <c r="N213" s="1417"/>
    </row>
    <row r="234" spans="1:14" ht="13.5" thickBot="1" x14ac:dyDescent="0.25"/>
    <row r="235" spans="1:14" x14ac:dyDescent="0.2">
      <c r="A235" s="1414"/>
      <c r="B235" s="1415"/>
      <c r="C235" s="1416"/>
      <c r="D235" s="1415"/>
      <c r="E235" s="1415"/>
      <c r="F235" s="1415"/>
      <c r="G235" s="1415"/>
      <c r="H235" s="1415"/>
      <c r="I235" s="1415"/>
      <c r="J235" s="1415"/>
      <c r="K235" s="1415"/>
      <c r="L235" s="1415"/>
      <c r="M235" s="1415"/>
      <c r="N235" s="1417"/>
    </row>
    <row r="236" spans="1:14" x14ac:dyDescent="0.2">
      <c r="A236" s="1418"/>
      <c r="B236" s="208"/>
      <c r="C236" s="212"/>
      <c r="D236" s="208"/>
      <c r="E236" s="208"/>
      <c r="F236" s="208"/>
      <c r="G236" s="208"/>
      <c r="H236" s="208"/>
      <c r="I236" s="208"/>
      <c r="J236" s="208"/>
      <c r="K236" s="208"/>
      <c r="L236" s="208"/>
      <c r="M236" s="208"/>
      <c r="N236" s="1419"/>
    </row>
    <row r="237" spans="1:14" x14ac:dyDescent="0.2">
      <c r="A237" s="1418"/>
      <c r="B237" s="208"/>
      <c r="C237" s="212"/>
      <c r="D237" s="208"/>
      <c r="E237" s="208"/>
      <c r="F237" s="208"/>
      <c r="G237" s="208"/>
      <c r="H237" s="208"/>
      <c r="I237" s="208"/>
      <c r="J237" s="208"/>
      <c r="K237" s="208"/>
      <c r="L237" s="208"/>
      <c r="M237" s="208"/>
      <c r="N237" s="1419"/>
    </row>
    <row r="238" spans="1:14" x14ac:dyDescent="0.2">
      <c r="A238" s="1418"/>
      <c r="B238" s="208"/>
      <c r="C238" s="212"/>
      <c r="D238" s="208"/>
      <c r="E238" s="208"/>
      <c r="F238" s="208"/>
      <c r="G238" s="208"/>
      <c r="H238" s="208"/>
      <c r="I238" s="208"/>
      <c r="J238" s="208"/>
      <c r="K238" s="208"/>
      <c r="L238" s="208"/>
      <c r="M238" s="208"/>
      <c r="N238" s="1419"/>
    </row>
    <row r="239" spans="1:14" x14ac:dyDescent="0.2">
      <c r="A239" s="1418"/>
      <c r="B239" s="208"/>
      <c r="C239" s="212"/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1419"/>
    </row>
    <row r="240" spans="1:14" x14ac:dyDescent="0.2">
      <c r="A240" s="1418"/>
      <c r="B240" s="208"/>
      <c r="C240" s="212"/>
      <c r="D240" s="208"/>
      <c r="E240" s="208"/>
      <c r="F240" s="208"/>
      <c r="G240" s="208"/>
      <c r="H240" s="208"/>
      <c r="I240" s="208"/>
      <c r="J240" s="208"/>
      <c r="K240" s="208"/>
      <c r="L240" s="208"/>
      <c r="M240" s="208"/>
      <c r="N240" s="1419"/>
    </row>
    <row r="241" spans="1:14" x14ac:dyDescent="0.2">
      <c r="A241" s="1418"/>
      <c r="B241" s="208"/>
      <c r="C241" s="212"/>
      <c r="D241" s="208"/>
      <c r="E241" s="208"/>
      <c r="F241" s="208"/>
      <c r="G241" s="208"/>
      <c r="H241" s="208"/>
      <c r="I241" s="208"/>
      <c r="J241" s="208"/>
      <c r="K241" s="208"/>
      <c r="L241" s="208"/>
      <c r="M241" s="208"/>
      <c r="N241" s="1419"/>
    </row>
    <row r="242" spans="1:14" x14ac:dyDescent="0.2">
      <c r="A242" s="1418"/>
      <c r="B242" s="208"/>
      <c r="C242" s="212"/>
      <c r="D242" s="208"/>
      <c r="E242" s="208"/>
      <c r="F242" s="208"/>
      <c r="G242" s="208"/>
      <c r="H242" s="208"/>
      <c r="I242" s="208"/>
      <c r="J242" s="208"/>
      <c r="K242" s="208"/>
      <c r="L242" s="208"/>
      <c r="M242" s="208"/>
      <c r="N242" s="1419"/>
    </row>
    <row r="243" spans="1:14" ht="13.5" thickBot="1" x14ac:dyDescent="0.25">
      <c r="A243" s="1420"/>
      <c r="B243" s="1421"/>
      <c r="C243" s="1422"/>
      <c r="D243" s="1421"/>
      <c r="E243" s="1421"/>
      <c r="F243" s="1421"/>
      <c r="G243" s="1421"/>
      <c r="H243" s="1421"/>
      <c r="I243" s="1421"/>
      <c r="J243" s="1421"/>
      <c r="K243" s="1421"/>
      <c r="L243" s="1421"/>
      <c r="M243" s="1421"/>
      <c r="N243" s="1423"/>
    </row>
    <row r="244" spans="1:14" x14ac:dyDescent="0.2">
      <c r="A244" s="1414"/>
      <c r="B244" s="1415"/>
      <c r="C244" s="1416"/>
      <c r="D244" s="1415"/>
      <c r="E244" s="1415"/>
      <c r="F244" s="1415"/>
      <c r="G244" s="1415"/>
      <c r="H244" s="1415"/>
      <c r="I244" s="1415"/>
      <c r="J244" s="1415"/>
      <c r="K244" s="1415"/>
      <c r="L244" s="1415"/>
      <c r="M244" s="1415"/>
      <c r="N244" s="1417"/>
    </row>
    <row r="245" spans="1:14" x14ac:dyDescent="0.2">
      <c r="A245" s="1418"/>
      <c r="B245" s="208"/>
      <c r="C245" s="212"/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1419"/>
    </row>
    <row r="246" spans="1:14" x14ac:dyDescent="0.2">
      <c r="A246" s="1418"/>
      <c r="B246" s="208"/>
      <c r="C246" s="212"/>
      <c r="D246" s="208"/>
      <c r="E246" s="208"/>
      <c r="F246" s="208"/>
      <c r="G246" s="208"/>
      <c r="H246" s="208"/>
      <c r="I246" s="208"/>
      <c r="J246" s="208"/>
      <c r="K246" s="208"/>
      <c r="L246" s="208"/>
      <c r="M246" s="208"/>
      <c r="N246" s="1419"/>
    </row>
    <row r="247" spans="1:14" x14ac:dyDescent="0.2">
      <c r="A247" s="1418"/>
      <c r="B247" s="208"/>
      <c r="C247" s="212"/>
      <c r="D247" s="208"/>
      <c r="E247" s="208"/>
      <c r="F247" s="208"/>
      <c r="G247" s="208"/>
      <c r="H247" s="208"/>
      <c r="I247" s="208"/>
      <c r="J247" s="208"/>
      <c r="K247" s="208"/>
      <c r="L247" s="208"/>
      <c r="M247" s="208"/>
      <c r="N247" s="1419"/>
    </row>
    <row r="248" spans="1:14" x14ac:dyDescent="0.2">
      <c r="A248" s="1418"/>
      <c r="B248" s="208"/>
      <c r="C248" s="212"/>
      <c r="D248" s="208"/>
      <c r="E248" s="208"/>
      <c r="F248" s="208"/>
      <c r="G248" s="208"/>
      <c r="H248" s="208"/>
      <c r="I248" s="208"/>
      <c r="J248" s="208"/>
      <c r="K248" s="208"/>
      <c r="L248" s="208"/>
      <c r="M248" s="208"/>
      <c r="N248" s="1419"/>
    </row>
    <row r="249" spans="1:14" x14ac:dyDescent="0.2">
      <c r="A249" s="1418"/>
      <c r="B249" s="208"/>
      <c r="C249" s="212"/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1419"/>
    </row>
    <row r="250" spans="1:14" x14ac:dyDescent="0.2">
      <c r="A250" s="1418"/>
      <c r="B250" s="208"/>
      <c r="C250" s="212"/>
      <c r="D250" s="208"/>
      <c r="E250" s="208"/>
      <c r="F250" s="208"/>
      <c r="G250" s="208"/>
      <c r="H250" s="208"/>
      <c r="I250" s="208"/>
      <c r="J250" s="208"/>
      <c r="K250" s="208"/>
      <c r="L250" s="208"/>
      <c r="M250" s="208"/>
      <c r="N250" s="1419"/>
    </row>
    <row r="251" spans="1:14" x14ac:dyDescent="0.2">
      <c r="A251" s="1418"/>
      <c r="B251" s="208"/>
      <c r="C251" s="212"/>
      <c r="D251" s="208"/>
      <c r="E251" s="208"/>
      <c r="F251" s="208"/>
      <c r="G251" s="208"/>
      <c r="H251" s="208"/>
      <c r="I251" s="208"/>
      <c r="J251" s="208"/>
      <c r="K251" s="208"/>
      <c r="L251" s="208"/>
      <c r="M251" s="208"/>
      <c r="N251" s="1419"/>
    </row>
    <row r="252" spans="1:14" ht="13.5" thickBot="1" x14ac:dyDescent="0.25">
      <c r="A252" s="1420"/>
      <c r="B252" s="1421"/>
      <c r="C252" s="1422"/>
      <c r="D252" s="1421"/>
      <c r="E252" s="1421"/>
      <c r="F252" s="1421"/>
      <c r="G252" s="1421"/>
      <c r="H252" s="1421"/>
      <c r="I252" s="1421"/>
      <c r="J252" s="1421"/>
      <c r="K252" s="1421"/>
      <c r="L252" s="1421"/>
      <c r="M252" s="1421"/>
      <c r="N252" s="1423"/>
    </row>
    <row r="270" spans="1:14" ht="13.5" thickBot="1" x14ac:dyDescent="0.25"/>
    <row r="271" spans="1:14" x14ac:dyDescent="0.2">
      <c r="A271" s="1414"/>
      <c r="B271" s="1415"/>
      <c r="C271" s="1416"/>
      <c r="D271" s="1415"/>
      <c r="E271" s="1415"/>
      <c r="F271" s="1415"/>
      <c r="G271" s="1415"/>
      <c r="H271" s="1415"/>
      <c r="I271" s="1415"/>
      <c r="J271" s="1415"/>
      <c r="K271" s="1415"/>
      <c r="L271" s="1415"/>
      <c r="M271" s="1415"/>
      <c r="N271" s="1417"/>
    </row>
    <row r="272" spans="1:14" x14ac:dyDescent="0.2">
      <c r="A272" s="1418"/>
      <c r="B272" s="208"/>
      <c r="C272" s="212"/>
      <c r="D272" s="208"/>
      <c r="E272" s="208"/>
      <c r="F272" s="208"/>
      <c r="G272" s="208"/>
      <c r="H272" s="208"/>
      <c r="I272" s="208"/>
      <c r="J272" s="208"/>
      <c r="K272" s="208"/>
      <c r="L272" s="208"/>
      <c r="M272" s="208"/>
      <c r="N272" s="1419"/>
    </row>
    <row r="273" spans="1:14" x14ac:dyDescent="0.2">
      <c r="A273" s="1418"/>
      <c r="B273" s="208"/>
      <c r="C273" s="212"/>
      <c r="D273" s="208"/>
      <c r="E273" s="208"/>
      <c r="F273" s="208"/>
      <c r="G273" s="208"/>
      <c r="H273" s="208"/>
      <c r="I273" s="208"/>
      <c r="J273" s="208"/>
      <c r="K273" s="208"/>
      <c r="L273" s="208"/>
      <c r="M273" s="208"/>
      <c r="N273" s="1419"/>
    </row>
    <row r="274" spans="1:14" x14ac:dyDescent="0.2">
      <c r="A274" s="1418"/>
      <c r="B274" s="208"/>
      <c r="C274" s="212"/>
      <c r="D274" s="208"/>
      <c r="E274" s="208"/>
      <c r="F274" s="208"/>
      <c r="G274" s="208"/>
      <c r="H274" s="208"/>
      <c r="I274" s="208"/>
      <c r="J274" s="208"/>
      <c r="K274" s="208"/>
      <c r="L274" s="208"/>
      <c r="M274" s="208"/>
      <c r="N274" s="1419"/>
    </row>
    <row r="275" spans="1:14" x14ac:dyDescent="0.2">
      <c r="A275" s="1418"/>
      <c r="B275" s="208"/>
      <c r="C275" s="212"/>
      <c r="D275" s="208"/>
      <c r="E275" s="208"/>
      <c r="F275" s="208"/>
      <c r="G275" s="208"/>
      <c r="H275" s="208"/>
      <c r="I275" s="208"/>
      <c r="J275" s="208"/>
      <c r="K275" s="208"/>
      <c r="L275" s="208"/>
      <c r="M275" s="208"/>
      <c r="N275" s="1419"/>
    </row>
    <row r="276" spans="1:14" x14ac:dyDescent="0.2">
      <c r="A276" s="1418"/>
      <c r="B276" s="208"/>
      <c r="C276" s="212"/>
      <c r="D276" s="208"/>
      <c r="E276" s="208"/>
      <c r="F276" s="208"/>
      <c r="G276" s="208"/>
      <c r="H276" s="208"/>
      <c r="I276" s="208"/>
      <c r="J276" s="208"/>
      <c r="K276" s="208"/>
      <c r="L276" s="208"/>
      <c r="M276" s="208"/>
      <c r="N276" s="1419"/>
    </row>
    <row r="277" spans="1:14" x14ac:dyDescent="0.2">
      <c r="A277" s="1418"/>
      <c r="B277" s="208"/>
      <c r="C277" s="212"/>
      <c r="D277" s="208"/>
      <c r="E277" s="208"/>
      <c r="F277" s="208"/>
      <c r="G277" s="208"/>
      <c r="H277" s="208"/>
      <c r="I277" s="208"/>
      <c r="J277" s="208"/>
      <c r="K277" s="208"/>
      <c r="L277" s="208"/>
      <c r="M277" s="208"/>
      <c r="N277" s="1419"/>
    </row>
    <row r="278" spans="1:14" x14ac:dyDescent="0.2">
      <c r="A278" s="1418"/>
      <c r="B278" s="208"/>
      <c r="C278" s="212"/>
      <c r="D278" s="208"/>
      <c r="E278" s="208"/>
      <c r="F278" s="208"/>
      <c r="G278" s="208"/>
      <c r="H278" s="208"/>
      <c r="I278" s="208"/>
      <c r="J278" s="208"/>
      <c r="K278" s="208"/>
      <c r="L278" s="208"/>
      <c r="M278" s="208"/>
      <c r="N278" s="1419"/>
    </row>
    <row r="279" spans="1:14" ht="13.5" thickBot="1" x14ac:dyDescent="0.25">
      <c r="A279" s="1420"/>
      <c r="B279" s="1421"/>
      <c r="C279" s="1422"/>
      <c r="D279" s="1421"/>
      <c r="E279" s="1421"/>
      <c r="F279" s="1421"/>
      <c r="G279" s="1421"/>
      <c r="H279" s="1421"/>
      <c r="I279" s="1421"/>
      <c r="J279" s="1421"/>
      <c r="K279" s="1421"/>
      <c r="L279" s="1421"/>
      <c r="M279" s="1421"/>
      <c r="N279" s="1423"/>
    </row>
    <row r="280" spans="1:14" x14ac:dyDescent="0.2">
      <c r="A280" s="1414"/>
      <c r="B280" s="1415"/>
      <c r="C280" s="1416"/>
      <c r="D280" s="1415"/>
      <c r="E280" s="1415"/>
      <c r="F280" s="1415"/>
      <c r="G280" s="1415"/>
      <c r="H280" s="1415"/>
      <c r="I280" s="1415"/>
      <c r="J280" s="1415"/>
      <c r="K280" s="1415"/>
      <c r="L280" s="1415"/>
      <c r="M280" s="1415"/>
      <c r="N280" s="1417"/>
    </row>
    <row r="281" spans="1:14" x14ac:dyDescent="0.2">
      <c r="A281" s="1418"/>
      <c r="B281" s="208"/>
      <c r="C281" s="212"/>
      <c r="D281" s="208"/>
      <c r="E281" s="208"/>
      <c r="F281" s="208"/>
      <c r="G281" s="208"/>
      <c r="H281" s="208"/>
      <c r="I281" s="208"/>
      <c r="J281" s="208"/>
      <c r="K281" s="208"/>
      <c r="L281" s="208"/>
      <c r="M281" s="208"/>
      <c r="N281" s="1419"/>
    </row>
    <row r="282" spans="1:14" x14ac:dyDescent="0.2">
      <c r="A282" s="1418"/>
      <c r="B282" s="208"/>
      <c r="C282" s="212"/>
      <c r="D282" s="208"/>
      <c r="E282" s="208"/>
      <c r="F282" s="208"/>
      <c r="G282" s="208"/>
      <c r="H282" s="208"/>
      <c r="I282" s="208"/>
      <c r="J282" s="208"/>
      <c r="K282" s="208"/>
      <c r="L282" s="208"/>
      <c r="M282" s="208"/>
      <c r="N282" s="1419"/>
    </row>
    <row r="283" spans="1:14" x14ac:dyDescent="0.2">
      <c r="A283" s="1418"/>
      <c r="B283" s="208"/>
      <c r="C283" s="212"/>
      <c r="D283" s="208"/>
      <c r="E283" s="208"/>
      <c r="F283" s="208"/>
      <c r="G283" s="208"/>
      <c r="H283" s="208"/>
      <c r="I283" s="208"/>
      <c r="J283" s="208"/>
      <c r="K283" s="208"/>
      <c r="L283" s="208"/>
      <c r="M283" s="208"/>
      <c r="N283" s="1419"/>
    </row>
    <row r="284" spans="1:14" x14ac:dyDescent="0.2">
      <c r="A284" s="1418"/>
      <c r="B284" s="208"/>
      <c r="C284" s="212"/>
      <c r="D284" s="208"/>
      <c r="E284" s="208"/>
      <c r="F284" s="208"/>
      <c r="G284" s="208"/>
      <c r="H284" s="208"/>
      <c r="I284" s="208"/>
      <c r="J284" s="208"/>
      <c r="K284" s="208"/>
      <c r="L284" s="208"/>
      <c r="M284" s="208"/>
      <c r="N284" s="1419"/>
    </row>
    <row r="285" spans="1:14" x14ac:dyDescent="0.2">
      <c r="A285" s="1418"/>
      <c r="B285" s="208"/>
      <c r="C285" s="212"/>
      <c r="D285" s="208"/>
      <c r="E285" s="208"/>
      <c r="F285" s="208"/>
      <c r="G285" s="208"/>
      <c r="H285" s="208"/>
      <c r="I285" s="208"/>
      <c r="J285" s="208"/>
      <c r="K285" s="208"/>
      <c r="L285" s="208"/>
      <c r="M285" s="208"/>
      <c r="N285" s="1419"/>
    </row>
    <row r="286" spans="1:14" x14ac:dyDescent="0.2">
      <c r="A286" s="1418"/>
      <c r="B286" s="208"/>
      <c r="C286" s="212"/>
      <c r="D286" s="208"/>
      <c r="E286" s="208"/>
      <c r="F286" s="208"/>
      <c r="G286" s="208"/>
      <c r="H286" s="208"/>
      <c r="I286" s="208"/>
      <c r="J286" s="208"/>
      <c r="K286" s="208"/>
      <c r="L286" s="208"/>
      <c r="M286" s="208"/>
      <c r="N286" s="1419"/>
    </row>
    <row r="287" spans="1:14" x14ac:dyDescent="0.2">
      <c r="A287" s="1418"/>
      <c r="B287" s="208"/>
      <c r="C287" s="212"/>
      <c r="D287" s="208"/>
      <c r="E287" s="208"/>
      <c r="F287" s="208"/>
      <c r="G287" s="208"/>
      <c r="H287" s="208"/>
      <c r="I287" s="208"/>
      <c r="J287" s="208"/>
      <c r="K287" s="208"/>
      <c r="L287" s="208"/>
      <c r="M287" s="208"/>
      <c r="N287" s="1419"/>
    </row>
    <row r="288" spans="1:14" ht="13.5" thickBot="1" x14ac:dyDescent="0.25">
      <c r="A288" s="1420"/>
      <c r="B288" s="1421"/>
      <c r="C288" s="1422"/>
      <c r="D288" s="1421"/>
      <c r="E288" s="1421"/>
      <c r="F288" s="1421"/>
      <c r="G288" s="1421"/>
      <c r="H288" s="1421"/>
      <c r="I288" s="1421"/>
      <c r="J288" s="1421"/>
      <c r="K288" s="1421"/>
      <c r="L288" s="1421"/>
      <c r="M288" s="1421"/>
      <c r="N288" s="1423"/>
    </row>
    <row r="307" spans="1:14" ht="13.5" thickBot="1" x14ac:dyDescent="0.25"/>
    <row r="308" spans="1:14" x14ac:dyDescent="0.2">
      <c r="A308" s="1414"/>
      <c r="B308" s="1415"/>
      <c r="C308" s="1416"/>
      <c r="D308" s="1415"/>
      <c r="E308" s="1415"/>
      <c r="F308" s="1415"/>
      <c r="G308" s="1415"/>
      <c r="H308" s="1415"/>
      <c r="I308" s="1415"/>
      <c r="J308" s="1415"/>
      <c r="K308" s="1415"/>
      <c r="L308" s="1415"/>
      <c r="M308" s="1415"/>
      <c r="N308" s="1417"/>
    </row>
    <row r="309" spans="1:14" x14ac:dyDescent="0.2">
      <c r="A309" s="1418"/>
      <c r="B309" s="208"/>
      <c r="C309" s="212"/>
      <c r="D309" s="208"/>
      <c r="E309" s="208"/>
      <c r="F309" s="208"/>
      <c r="G309" s="208"/>
      <c r="H309" s="208"/>
      <c r="I309" s="208"/>
      <c r="J309" s="208"/>
      <c r="K309" s="208"/>
      <c r="L309" s="208"/>
      <c r="M309" s="208"/>
      <c r="N309" s="1419"/>
    </row>
    <row r="310" spans="1:14" x14ac:dyDescent="0.2">
      <c r="A310" s="1418"/>
      <c r="B310" s="208"/>
      <c r="C310" s="212"/>
      <c r="D310" s="208"/>
      <c r="E310" s="208"/>
      <c r="F310" s="208"/>
      <c r="G310" s="208"/>
      <c r="H310" s="208"/>
      <c r="I310" s="208"/>
      <c r="J310" s="208"/>
      <c r="K310" s="208"/>
      <c r="L310" s="208"/>
      <c r="M310" s="208"/>
      <c r="N310" s="1419"/>
    </row>
    <row r="311" spans="1:14" x14ac:dyDescent="0.2">
      <c r="A311" s="1418"/>
      <c r="B311" s="208"/>
      <c r="C311" s="212"/>
      <c r="D311" s="208"/>
      <c r="E311" s="208"/>
      <c r="F311" s="208"/>
      <c r="G311" s="208"/>
      <c r="H311" s="208"/>
      <c r="I311" s="208"/>
      <c r="J311" s="208"/>
      <c r="K311" s="208"/>
      <c r="L311" s="208"/>
      <c r="M311" s="208"/>
      <c r="N311" s="1419"/>
    </row>
    <row r="312" spans="1:14" x14ac:dyDescent="0.2">
      <c r="A312" s="1418"/>
      <c r="B312" s="208"/>
      <c r="C312" s="212"/>
      <c r="D312" s="208"/>
      <c r="E312" s="208"/>
      <c r="F312" s="208"/>
      <c r="G312" s="208"/>
      <c r="H312" s="208"/>
      <c r="I312" s="208"/>
      <c r="J312" s="208"/>
      <c r="K312" s="208"/>
      <c r="L312" s="208"/>
      <c r="M312" s="208"/>
      <c r="N312" s="1419"/>
    </row>
    <row r="313" spans="1:14" x14ac:dyDescent="0.2">
      <c r="A313" s="1418"/>
      <c r="B313" s="208"/>
      <c r="C313" s="212"/>
      <c r="D313" s="208"/>
      <c r="E313" s="208"/>
      <c r="F313" s="208"/>
      <c r="G313" s="208"/>
      <c r="H313" s="208"/>
      <c r="I313" s="208"/>
      <c r="J313" s="208"/>
      <c r="K313" s="208"/>
      <c r="L313" s="208"/>
      <c r="M313" s="208"/>
      <c r="N313" s="1419"/>
    </row>
    <row r="314" spans="1:14" x14ac:dyDescent="0.2">
      <c r="A314" s="1418"/>
      <c r="B314" s="208"/>
      <c r="C314" s="212"/>
      <c r="D314" s="208"/>
      <c r="E314" s="208"/>
      <c r="F314" s="208"/>
      <c r="G314" s="208"/>
      <c r="H314" s="208"/>
      <c r="I314" s="208"/>
      <c r="J314" s="208"/>
      <c r="K314" s="208"/>
      <c r="L314" s="208"/>
      <c r="M314" s="208"/>
      <c r="N314" s="1419"/>
    </row>
    <row r="315" spans="1:14" x14ac:dyDescent="0.2">
      <c r="A315" s="1418"/>
      <c r="B315" s="208"/>
      <c r="C315" s="212"/>
      <c r="D315" s="208"/>
      <c r="E315" s="208"/>
      <c r="F315" s="208"/>
      <c r="G315" s="208"/>
      <c r="H315" s="208"/>
      <c r="I315" s="208"/>
      <c r="J315" s="208"/>
      <c r="K315" s="208"/>
      <c r="L315" s="208"/>
      <c r="M315" s="208"/>
      <c r="N315" s="1419"/>
    </row>
    <row r="316" spans="1:14" ht="13.5" thickBot="1" x14ac:dyDescent="0.25">
      <c r="A316" s="1420"/>
      <c r="B316" s="1421"/>
      <c r="C316" s="1422"/>
      <c r="D316" s="1421"/>
      <c r="E316" s="1421"/>
      <c r="F316" s="1421"/>
      <c r="G316" s="1421"/>
      <c r="H316" s="1421"/>
      <c r="I316" s="1421"/>
      <c r="J316" s="1421"/>
      <c r="K316" s="1421"/>
      <c r="L316" s="1421"/>
      <c r="M316" s="1421"/>
      <c r="N316" s="1423"/>
    </row>
    <row r="325" spans="1:14" ht="13.5" thickBot="1" x14ac:dyDescent="0.25"/>
    <row r="326" spans="1:14" x14ac:dyDescent="0.2">
      <c r="A326" s="1414"/>
      <c r="B326" s="1415"/>
      <c r="C326" s="1416"/>
      <c r="D326" s="1415"/>
      <c r="E326" s="1415"/>
      <c r="F326" s="1415"/>
      <c r="G326" s="1415"/>
      <c r="H326" s="1415"/>
      <c r="I326" s="1415"/>
      <c r="J326" s="1415"/>
      <c r="K326" s="1415"/>
      <c r="L326" s="1415"/>
      <c r="M326" s="1415"/>
      <c r="N326" s="1417"/>
    </row>
    <row r="327" spans="1:14" x14ac:dyDescent="0.2">
      <c r="A327" s="1418"/>
      <c r="B327" s="208"/>
      <c r="C327" s="212"/>
      <c r="D327" s="208"/>
      <c r="E327" s="208"/>
      <c r="F327" s="208"/>
      <c r="G327" s="208"/>
      <c r="H327" s="208"/>
      <c r="I327" s="208"/>
      <c r="J327" s="208"/>
      <c r="K327" s="208"/>
      <c r="L327" s="208"/>
      <c r="M327" s="208"/>
      <c r="N327" s="1419"/>
    </row>
    <row r="328" spans="1:14" x14ac:dyDescent="0.2">
      <c r="A328" s="1418"/>
      <c r="B328" s="208"/>
      <c r="C328" s="212"/>
      <c r="D328" s="208"/>
      <c r="E328" s="208"/>
      <c r="F328" s="208"/>
      <c r="G328" s="208"/>
      <c r="H328" s="208"/>
      <c r="I328" s="208"/>
      <c r="J328" s="208"/>
      <c r="K328" s="208"/>
      <c r="L328" s="208"/>
      <c r="M328" s="208"/>
      <c r="N328" s="1419"/>
    </row>
    <row r="329" spans="1:14" x14ac:dyDescent="0.2">
      <c r="A329" s="1418"/>
      <c r="B329" s="208"/>
      <c r="C329" s="212"/>
      <c r="D329" s="208"/>
      <c r="E329" s="208"/>
      <c r="F329" s="208"/>
      <c r="G329" s="208"/>
      <c r="H329" s="208"/>
      <c r="I329" s="208"/>
      <c r="J329" s="208"/>
      <c r="K329" s="208"/>
      <c r="L329" s="208"/>
      <c r="M329" s="208"/>
      <c r="N329" s="1419"/>
    </row>
    <row r="330" spans="1:14" x14ac:dyDescent="0.2">
      <c r="A330" s="1418"/>
      <c r="B330" s="208"/>
      <c r="C330" s="212"/>
      <c r="D330" s="208"/>
      <c r="E330" s="208"/>
      <c r="F330" s="208"/>
      <c r="G330" s="208"/>
      <c r="H330" s="208"/>
      <c r="I330" s="208"/>
      <c r="J330" s="208"/>
      <c r="K330" s="208"/>
      <c r="L330" s="208"/>
      <c r="M330" s="208"/>
      <c r="N330" s="1419"/>
    </row>
    <row r="331" spans="1:14" x14ac:dyDescent="0.2">
      <c r="A331" s="1418"/>
      <c r="B331" s="208"/>
      <c r="C331" s="212"/>
      <c r="D331" s="208"/>
      <c r="E331" s="208"/>
      <c r="F331" s="208"/>
      <c r="G331" s="208"/>
      <c r="H331" s="208"/>
      <c r="I331" s="208"/>
      <c r="J331" s="208"/>
      <c r="K331" s="208"/>
      <c r="L331" s="208"/>
      <c r="M331" s="208"/>
      <c r="N331" s="1419"/>
    </row>
    <row r="332" spans="1:14" x14ac:dyDescent="0.2">
      <c r="A332" s="1418"/>
      <c r="B332" s="208"/>
      <c r="C332" s="212"/>
      <c r="D332" s="208"/>
      <c r="E332" s="208"/>
      <c r="F332" s="208"/>
      <c r="G332" s="208"/>
      <c r="H332" s="208"/>
      <c r="I332" s="208"/>
      <c r="J332" s="208"/>
      <c r="K332" s="208"/>
      <c r="L332" s="208"/>
      <c r="M332" s="208"/>
      <c r="N332" s="1419"/>
    </row>
    <row r="333" spans="1:14" x14ac:dyDescent="0.2">
      <c r="A333" s="1418"/>
      <c r="B333" s="208"/>
      <c r="C333" s="212"/>
      <c r="D333" s="208"/>
      <c r="E333" s="208"/>
      <c r="F333" s="208"/>
      <c r="G333" s="208"/>
      <c r="H333" s="208"/>
      <c r="I333" s="208"/>
      <c r="J333" s="208"/>
      <c r="K333" s="208"/>
      <c r="L333" s="208"/>
      <c r="M333" s="208"/>
      <c r="N333" s="1419"/>
    </row>
    <row r="334" spans="1:14" ht="13.5" thickBot="1" x14ac:dyDescent="0.25">
      <c r="A334" s="1420"/>
      <c r="B334" s="1421"/>
      <c r="C334" s="1422"/>
      <c r="D334" s="1421"/>
      <c r="E334" s="1421"/>
      <c r="F334" s="1421"/>
      <c r="G334" s="1421"/>
      <c r="H334" s="1421"/>
      <c r="I334" s="1421"/>
      <c r="J334" s="1421"/>
      <c r="K334" s="1421"/>
      <c r="L334" s="1421"/>
      <c r="M334" s="1421"/>
      <c r="N334" s="1423"/>
    </row>
    <row r="361" spans="1:14" ht="13.5" thickBot="1" x14ac:dyDescent="0.25"/>
    <row r="362" spans="1:14" x14ac:dyDescent="0.2">
      <c r="A362" s="1414"/>
      <c r="B362" s="1415"/>
      <c r="C362" s="1416"/>
      <c r="D362" s="1415"/>
      <c r="E362" s="1415"/>
      <c r="F362" s="1415"/>
      <c r="G362" s="1415"/>
      <c r="H362" s="1415"/>
      <c r="I362" s="1415"/>
      <c r="J362" s="1415"/>
      <c r="K362" s="1415"/>
      <c r="L362" s="1415"/>
      <c r="M362" s="1415"/>
      <c r="N362" s="1417"/>
    </row>
    <row r="363" spans="1:14" x14ac:dyDescent="0.2">
      <c r="A363" s="1418"/>
      <c r="B363" s="208"/>
      <c r="C363" s="212"/>
      <c r="D363" s="208"/>
      <c r="E363" s="208"/>
      <c r="F363" s="208"/>
      <c r="G363" s="208"/>
      <c r="H363" s="208"/>
      <c r="I363" s="208"/>
      <c r="J363" s="208"/>
      <c r="K363" s="208"/>
      <c r="L363" s="208"/>
      <c r="M363" s="208"/>
      <c r="N363" s="1419"/>
    </row>
    <row r="364" spans="1:14" x14ac:dyDescent="0.2">
      <c r="A364" s="1418"/>
      <c r="B364" s="208"/>
      <c r="C364" s="212"/>
      <c r="D364" s="208"/>
      <c r="E364" s="208"/>
      <c r="F364" s="208"/>
      <c r="G364" s="208"/>
      <c r="H364" s="208"/>
      <c r="I364" s="208"/>
      <c r="J364" s="208"/>
      <c r="K364" s="208"/>
      <c r="L364" s="208"/>
      <c r="M364" s="208"/>
      <c r="N364" s="1419"/>
    </row>
    <row r="365" spans="1:14" x14ac:dyDescent="0.2">
      <c r="A365" s="1418"/>
      <c r="B365" s="208"/>
      <c r="C365" s="212"/>
      <c r="D365" s="208"/>
      <c r="E365" s="208"/>
      <c r="F365" s="208"/>
      <c r="G365" s="208"/>
      <c r="H365" s="208"/>
      <c r="I365" s="208"/>
      <c r="J365" s="208"/>
      <c r="K365" s="208"/>
      <c r="L365" s="208"/>
      <c r="M365" s="208"/>
      <c r="N365" s="1419"/>
    </row>
    <row r="366" spans="1:14" x14ac:dyDescent="0.2">
      <c r="A366" s="1418"/>
      <c r="B366" s="208"/>
      <c r="C366" s="212"/>
      <c r="D366" s="208"/>
      <c r="E366" s="208"/>
      <c r="F366" s="208"/>
      <c r="G366" s="208"/>
      <c r="H366" s="208"/>
      <c r="I366" s="208"/>
      <c r="J366" s="208"/>
      <c r="K366" s="208"/>
      <c r="L366" s="208"/>
      <c r="M366" s="208"/>
      <c r="N366" s="1419"/>
    </row>
    <row r="367" spans="1:14" x14ac:dyDescent="0.2">
      <c r="A367" s="1418"/>
      <c r="B367" s="208"/>
      <c r="C367" s="212"/>
      <c r="D367" s="208"/>
      <c r="E367" s="208"/>
      <c r="F367" s="208"/>
      <c r="G367" s="208"/>
      <c r="H367" s="208"/>
      <c r="I367" s="208"/>
      <c r="J367" s="208"/>
      <c r="K367" s="208"/>
      <c r="L367" s="208"/>
      <c r="M367" s="208"/>
      <c r="N367" s="1419"/>
    </row>
    <row r="368" spans="1:14" x14ac:dyDescent="0.2">
      <c r="A368" s="1418"/>
      <c r="B368" s="208"/>
      <c r="C368" s="212"/>
      <c r="D368" s="208"/>
      <c r="E368" s="208"/>
      <c r="F368" s="208"/>
      <c r="G368" s="208"/>
      <c r="H368" s="208"/>
      <c r="I368" s="208"/>
      <c r="J368" s="208"/>
      <c r="K368" s="208"/>
      <c r="L368" s="208"/>
      <c r="M368" s="208"/>
      <c r="N368" s="1419"/>
    </row>
    <row r="369" spans="1:14" x14ac:dyDescent="0.2">
      <c r="A369" s="1418"/>
      <c r="B369" s="208"/>
      <c r="C369" s="212"/>
      <c r="D369" s="208"/>
      <c r="E369" s="208"/>
      <c r="F369" s="208"/>
      <c r="G369" s="208"/>
      <c r="H369" s="208"/>
      <c r="I369" s="208"/>
      <c r="J369" s="208"/>
      <c r="K369" s="208"/>
      <c r="L369" s="208"/>
      <c r="M369" s="208"/>
      <c r="N369" s="1419"/>
    </row>
    <row r="370" spans="1:14" x14ac:dyDescent="0.2">
      <c r="A370" s="1418"/>
      <c r="B370" s="208"/>
      <c r="C370" s="212"/>
      <c r="D370" s="208"/>
      <c r="E370" s="208"/>
      <c r="F370" s="208"/>
      <c r="G370" s="208"/>
      <c r="H370" s="208"/>
      <c r="I370" s="208"/>
      <c r="J370" s="208"/>
      <c r="K370" s="208"/>
      <c r="L370" s="208"/>
      <c r="M370" s="208"/>
      <c r="N370" s="1419"/>
    </row>
    <row r="371" spans="1:14" x14ac:dyDescent="0.2">
      <c r="A371" s="1418"/>
      <c r="B371" s="208"/>
      <c r="C371" s="212"/>
      <c r="D371" s="208"/>
      <c r="E371" s="208"/>
      <c r="F371" s="208"/>
      <c r="G371" s="208"/>
      <c r="H371" s="208"/>
      <c r="I371" s="208"/>
      <c r="J371" s="208"/>
      <c r="K371" s="208"/>
      <c r="L371" s="208"/>
      <c r="M371" s="208"/>
      <c r="N371" s="1419"/>
    </row>
    <row r="372" spans="1:14" x14ac:dyDescent="0.2">
      <c r="A372" s="1418"/>
      <c r="B372" s="208"/>
      <c r="C372" s="212"/>
      <c r="D372" s="208"/>
      <c r="E372" s="208"/>
      <c r="F372" s="208"/>
      <c r="G372" s="208"/>
      <c r="H372" s="208"/>
      <c r="I372" s="208"/>
      <c r="J372" s="208"/>
      <c r="K372" s="208"/>
      <c r="L372" s="208"/>
      <c r="M372" s="208"/>
      <c r="N372" s="1419"/>
    </row>
    <row r="373" spans="1:14" x14ac:dyDescent="0.2">
      <c r="A373" s="1418"/>
      <c r="B373" s="208"/>
      <c r="C373" s="212"/>
      <c r="D373" s="208"/>
      <c r="E373" s="208"/>
      <c r="F373" s="208"/>
      <c r="G373" s="208"/>
      <c r="H373" s="208"/>
      <c r="I373" s="208"/>
      <c r="J373" s="208"/>
      <c r="K373" s="208"/>
      <c r="L373" s="208"/>
      <c r="M373" s="208"/>
      <c r="N373" s="1419"/>
    </row>
    <row r="374" spans="1:14" x14ac:dyDescent="0.2">
      <c r="A374" s="1418"/>
      <c r="B374" s="208"/>
      <c r="C374" s="212"/>
      <c r="D374" s="208"/>
      <c r="E374" s="208"/>
      <c r="F374" s="208"/>
      <c r="G374" s="208"/>
      <c r="H374" s="208"/>
      <c r="I374" s="208"/>
      <c r="J374" s="208"/>
      <c r="K374" s="208"/>
      <c r="L374" s="208"/>
      <c r="M374" s="208"/>
      <c r="N374" s="1419"/>
    </row>
    <row r="375" spans="1:14" ht="13.5" thickBot="1" x14ac:dyDescent="0.25">
      <c r="A375" s="1420"/>
      <c r="B375" s="1421"/>
      <c r="C375" s="1422"/>
      <c r="D375" s="1421"/>
      <c r="E375" s="1421"/>
      <c r="F375" s="1421"/>
      <c r="G375" s="1421"/>
      <c r="H375" s="1421"/>
      <c r="I375" s="1421"/>
      <c r="J375" s="1421"/>
      <c r="K375" s="1421"/>
      <c r="L375" s="1421"/>
      <c r="M375" s="1421"/>
      <c r="N375" s="1423"/>
    </row>
    <row r="376" spans="1:14" x14ac:dyDescent="0.2">
      <c r="A376" s="1414"/>
      <c r="B376" s="1415"/>
      <c r="C376" s="1416"/>
      <c r="D376" s="1415"/>
      <c r="E376" s="1415"/>
      <c r="F376" s="1415"/>
      <c r="G376" s="1415"/>
      <c r="H376" s="1415"/>
      <c r="I376" s="1415"/>
      <c r="J376" s="1415"/>
      <c r="K376" s="1415"/>
      <c r="L376" s="1415"/>
      <c r="M376" s="1415"/>
      <c r="N376" s="1417"/>
    </row>
    <row r="377" spans="1:14" x14ac:dyDescent="0.2">
      <c r="A377" s="1418"/>
      <c r="B377" s="208"/>
      <c r="C377" s="212"/>
      <c r="D377" s="208"/>
      <c r="E377" s="208"/>
      <c r="F377" s="208"/>
      <c r="G377" s="208"/>
      <c r="H377" s="208"/>
      <c r="I377" s="208"/>
      <c r="J377" s="208"/>
      <c r="K377" s="208"/>
      <c r="L377" s="208"/>
      <c r="M377" s="208"/>
      <c r="N377" s="1419"/>
    </row>
    <row r="378" spans="1:14" x14ac:dyDescent="0.2">
      <c r="A378" s="1418"/>
      <c r="B378" s="208"/>
      <c r="C378" s="212"/>
      <c r="D378" s="208"/>
      <c r="E378" s="208"/>
      <c r="F378" s="208"/>
      <c r="G378" s="208"/>
      <c r="H378" s="208"/>
      <c r="I378" s="208"/>
      <c r="J378" s="208"/>
      <c r="K378" s="208"/>
      <c r="L378" s="208"/>
      <c r="M378" s="208"/>
      <c r="N378" s="1419"/>
    </row>
    <row r="379" spans="1:14" x14ac:dyDescent="0.2">
      <c r="A379" s="1418"/>
      <c r="B379" s="208"/>
      <c r="C379" s="212"/>
      <c r="D379" s="208"/>
      <c r="E379" s="208"/>
      <c r="F379" s="208"/>
      <c r="G379" s="208"/>
      <c r="H379" s="208"/>
      <c r="I379" s="208"/>
      <c r="J379" s="208"/>
      <c r="K379" s="208"/>
      <c r="L379" s="208"/>
      <c r="M379" s="208"/>
      <c r="N379" s="1419"/>
    </row>
    <row r="380" spans="1:14" x14ac:dyDescent="0.2">
      <c r="A380" s="1418"/>
      <c r="B380" s="208"/>
      <c r="C380" s="212"/>
      <c r="D380" s="208"/>
      <c r="E380" s="208"/>
      <c r="F380" s="208"/>
      <c r="G380" s="208"/>
      <c r="H380" s="208"/>
      <c r="I380" s="208"/>
      <c r="J380" s="208"/>
      <c r="K380" s="208"/>
      <c r="L380" s="208"/>
      <c r="M380" s="208"/>
      <c r="N380" s="1419"/>
    </row>
    <row r="381" spans="1:14" x14ac:dyDescent="0.2">
      <c r="A381" s="1418"/>
      <c r="B381" s="208"/>
      <c r="C381" s="212"/>
      <c r="D381" s="208"/>
      <c r="E381" s="208"/>
      <c r="F381" s="208"/>
      <c r="G381" s="208"/>
      <c r="H381" s="208"/>
      <c r="I381" s="208"/>
      <c r="J381" s="208"/>
      <c r="K381" s="208"/>
      <c r="L381" s="208"/>
      <c r="M381" s="208"/>
      <c r="N381" s="1419"/>
    </row>
    <row r="382" spans="1:14" x14ac:dyDescent="0.2">
      <c r="A382" s="1418"/>
      <c r="B382" s="208"/>
      <c r="C382" s="212"/>
      <c r="D382" s="208"/>
      <c r="E382" s="208"/>
      <c r="F382" s="208"/>
      <c r="G382" s="208"/>
      <c r="H382" s="208"/>
      <c r="I382" s="208"/>
      <c r="J382" s="208"/>
      <c r="K382" s="208"/>
      <c r="L382" s="208"/>
      <c r="M382" s="208"/>
      <c r="N382" s="1419"/>
    </row>
    <row r="383" spans="1:14" x14ac:dyDescent="0.2">
      <c r="A383" s="1418"/>
      <c r="B383" s="208"/>
      <c r="C383" s="212"/>
      <c r="D383" s="208"/>
      <c r="E383" s="208"/>
      <c r="F383" s="208"/>
      <c r="G383" s="208"/>
      <c r="H383" s="208"/>
      <c r="I383" s="208"/>
      <c r="J383" s="208"/>
      <c r="K383" s="208"/>
      <c r="L383" s="208"/>
      <c r="M383" s="208"/>
      <c r="N383" s="1419"/>
    </row>
    <row r="384" spans="1:14" x14ac:dyDescent="0.2">
      <c r="A384" s="1418"/>
      <c r="B384" s="208"/>
      <c r="C384" s="212"/>
      <c r="D384" s="208"/>
      <c r="E384" s="208"/>
      <c r="F384" s="208"/>
      <c r="G384" s="208"/>
      <c r="H384" s="208"/>
      <c r="I384" s="208"/>
      <c r="J384" s="208"/>
      <c r="K384" s="208"/>
      <c r="L384" s="208"/>
      <c r="M384" s="208"/>
      <c r="N384" s="1419"/>
    </row>
    <row r="385" spans="1:14" x14ac:dyDescent="0.2">
      <c r="A385" s="1418"/>
      <c r="B385" s="208"/>
      <c r="C385" s="212"/>
      <c r="D385" s="208"/>
      <c r="E385" s="208"/>
      <c r="F385" s="208"/>
      <c r="G385" s="208"/>
      <c r="H385" s="208"/>
      <c r="I385" s="208"/>
      <c r="J385" s="208"/>
      <c r="K385" s="208"/>
      <c r="L385" s="208"/>
      <c r="M385" s="208"/>
      <c r="N385" s="1419"/>
    </row>
    <row r="386" spans="1:14" x14ac:dyDescent="0.2">
      <c r="A386" s="1418"/>
      <c r="B386" s="208"/>
      <c r="C386" s="212"/>
      <c r="D386" s="208"/>
      <c r="E386" s="208"/>
      <c r="F386" s="208"/>
      <c r="G386" s="208"/>
      <c r="H386" s="208"/>
      <c r="I386" s="208"/>
      <c r="J386" s="208"/>
      <c r="K386" s="208"/>
      <c r="L386" s="208"/>
      <c r="M386" s="208"/>
      <c r="N386" s="1419"/>
    </row>
    <row r="387" spans="1:14" x14ac:dyDescent="0.2">
      <c r="A387" s="1418"/>
      <c r="B387" s="208"/>
      <c r="C387" s="212"/>
      <c r="D387" s="208"/>
      <c r="E387" s="208"/>
      <c r="F387" s="208"/>
      <c r="G387" s="208"/>
      <c r="H387" s="208"/>
      <c r="I387" s="208"/>
      <c r="J387" s="208"/>
      <c r="K387" s="208"/>
      <c r="L387" s="208"/>
      <c r="M387" s="208"/>
      <c r="N387" s="1419"/>
    </row>
    <row r="388" spans="1:14" x14ac:dyDescent="0.2">
      <c r="A388" s="1418"/>
      <c r="B388" s="208"/>
      <c r="C388" s="212"/>
      <c r="D388" s="208"/>
      <c r="E388" s="208"/>
      <c r="F388" s="208"/>
      <c r="G388" s="208"/>
      <c r="H388" s="208"/>
      <c r="I388" s="208"/>
      <c r="J388" s="208"/>
      <c r="K388" s="208"/>
      <c r="L388" s="208"/>
      <c r="M388" s="208"/>
      <c r="N388" s="1419"/>
    </row>
    <row r="389" spans="1:14" ht="13.5" thickBot="1" x14ac:dyDescent="0.25">
      <c r="A389" s="1420"/>
      <c r="B389" s="1421"/>
      <c r="C389" s="1422"/>
      <c r="D389" s="1421"/>
      <c r="E389" s="1421"/>
      <c r="F389" s="1421"/>
      <c r="G389" s="1421"/>
      <c r="H389" s="1421"/>
      <c r="I389" s="1421"/>
      <c r="J389" s="1421"/>
      <c r="K389" s="1421"/>
      <c r="L389" s="1421"/>
      <c r="M389" s="1421"/>
      <c r="N389" s="1423"/>
    </row>
    <row r="398" spans="1:14" ht="13.5" thickBot="1" x14ac:dyDescent="0.25"/>
    <row r="399" spans="1:14" x14ac:dyDescent="0.2">
      <c r="A399" s="1414"/>
      <c r="B399" s="1415"/>
      <c r="C399" s="1416"/>
      <c r="D399" s="1415"/>
      <c r="E399" s="1415"/>
      <c r="F399" s="1415"/>
      <c r="G399" s="1415"/>
      <c r="H399" s="1415"/>
      <c r="I399" s="1415"/>
      <c r="J399" s="1415"/>
      <c r="K399" s="1415"/>
      <c r="L399" s="1415"/>
      <c r="M399" s="1415"/>
      <c r="N399" s="1417"/>
    </row>
    <row r="400" spans="1:14" x14ac:dyDescent="0.2">
      <c r="A400" s="1418"/>
      <c r="B400" s="208"/>
      <c r="C400" s="212"/>
      <c r="D400" s="208"/>
      <c r="E400" s="208"/>
      <c r="F400" s="208"/>
      <c r="G400" s="208"/>
      <c r="H400" s="208"/>
      <c r="I400" s="208"/>
      <c r="J400" s="208"/>
      <c r="K400" s="208"/>
      <c r="L400" s="208"/>
      <c r="M400" s="208"/>
      <c r="N400" s="1419"/>
    </row>
    <row r="401" spans="1:14" x14ac:dyDescent="0.2">
      <c r="A401" s="1418"/>
      <c r="B401" s="208"/>
      <c r="C401" s="212"/>
      <c r="D401" s="208"/>
      <c r="E401" s="208"/>
      <c r="F401" s="208"/>
      <c r="G401" s="208"/>
      <c r="H401" s="208"/>
      <c r="I401" s="208"/>
      <c r="J401" s="208"/>
      <c r="K401" s="208"/>
      <c r="L401" s="208"/>
      <c r="M401" s="208"/>
      <c r="N401" s="1419"/>
    </row>
    <row r="402" spans="1:14" x14ac:dyDescent="0.2">
      <c r="A402" s="1418"/>
      <c r="B402" s="208"/>
      <c r="C402" s="212"/>
      <c r="D402" s="208"/>
      <c r="E402" s="208"/>
      <c r="F402" s="208"/>
      <c r="G402" s="208"/>
      <c r="H402" s="208"/>
      <c r="I402" s="208"/>
      <c r="J402" s="208"/>
      <c r="K402" s="208"/>
      <c r="L402" s="208"/>
      <c r="M402" s="208"/>
      <c r="N402" s="1419"/>
    </row>
    <row r="403" spans="1:14" x14ac:dyDescent="0.2">
      <c r="A403" s="1418"/>
      <c r="B403" s="208"/>
      <c r="C403" s="212"/>
      <c r="D403" s="208"/>
      <c r="E403" s="208"/>
      <c r="F403" s="208"/>
      <c r="G403" s="208"/>
      <c r="H403" s="208"/>
      <c r="I403" s="208"/>
      <c r="J403" s="208"/>
      <c r="K403" s="208"/>
      <c r="L403" s="208"/>
      <c r="M403" s="208"/>
      <c r="N403" s="1419"/>
    </row>
    <row r="404" spans="1:14" x14ac:dyDescent="0.2">
      <c r="A404" s="1418"/>
      <c r="B404" s="208"/>
      <c r="C404" s="212"/>
      <c r="D404" s="208"/>
      <c r="E404" s="208"/>
      <c r="F404" s="208"/>
      <c r="G404" s="208"/>
      <c r="H404" s="208"/>
      <c r="I404" s="208"/>
      <c r="J404" s="208"/>
      <c r="K404" s="208"/>
      <c r="L404" s="208"/>
      <c r="M404" s="208"/>
      <c r="N404" s="1419"/>
    </row>
    <row r="405" spans="1:14" x14ac:dyDescent="0.2">
      <c r="A405" s="1418"/>
      <c r="B405" s="208"/>
      <c r="C405" s="212"/>
      <c r="D405" s="208"/>
      <c r="E405" s="208"/>
      <c r="F405" s="208"/>
      <c r="G405" s="208"/>
      <c r="H405" s="208"/>
      <c r="I405" s="208"/>
      <c r="J405" s="208"/>
      <c r="K405" s="208"/>
      <c r="L405" s="208"/>
      <c r="M405" s="208"/>
      <c r="N405" s="1419"/>
    </row>
    <row r="406" spans="1:14" x14ac:dyDescent="0.2">
      <c r="A406" s="1418"/>
      <c r="B406" s="208"/>
      <c r="C406" s="212"/>
      <c r="D406" s="208"/>
      <c r="E406" s="208"/>
      <c r="F406" s="208"/>
      <c r="G406" s="208"/>
      <c r="H406" s="208"/>
      <c r="I406" s="208"/>
      <c r="J406" s="208"/>
      <c r="K406" s="208"/>
      <c r="L406" s="208"/>
      <c r="M406" s="208"/>
      <c r="N406" s="1419"/>
    </row>
    <row r="407" spans="1:14" ht="13.5" thickBot="1" x14ac:dyDescent="0.25">
      <c r="A407" s="1420"/>
      <c r="B407" s="1421"/>
      <c r="C407" s="1422"/>
      <c r="D407" s="1421"/>
      <c r="E407" s="1421"/>
      <c r="F407" s="1421"/>
      <c r="G407" s="1421"/>
      <c r="H407" s="1421"/>
      <c r="I407" s="1421"/>
      <c r="J407" s="1421"/>
      <c r="K407" s="1421"/>
      <c r="L407" s="1421"/>
      <c r="M407" s="1421"/>
      <c r="N407" s="1423"/>
    </row>
    <row r="448" spans="6:6" x14ac:dyDescent="0.2">
      <c r="F448" s="24">
        <v>415162</v>
      </c>
    </row>
    <row r="480" ht="13.5" thickBot="1" x14ac:dyDescent="0.25"/>
    <row r="481" spans="1:14" x14ac:dyDescent="0.2">
      <c r="A481" s="1414"/>
      <c r="B481" s="1415"/>
      <c r="C481" s="1416"/>
      <c r="D481" s="1415"/>
      <c r="E481" s="1415"/>
      <c r="F481" s="1415"/>
      <c r="G481" s="1415"/>
      <c r="H481" s="1415"/>
      <c r="I481" s="1415"/>
      <c r="J481" s="1415"/>
      <c r="K481" s="1415"/>
      <c r="L481" s="1415"/>
      <c r="M481" s="1415"/>
      <c r="N481" s="1417"/>
    </row>
    <row r="482" spans="1:14" x14ac:dyDescent="0.2">
      <c r="A482" s="1418"/>
      <c r="B482" s="208"/>
      <c r="C482" s="212"/>
      <c r="D482" s="208"/>
      <c r="E482" s="208"/>
      <c r="F482" s="208"/>
      <c r="G482" s="208"/>
      <c r="H482" s="208"/>
      <c r="I482" s="208"/>
      <c r="J482" s="208"/>
      <c r="K482" s="208"/>
      <c r="L482" s="208"/>
      <c r="M482" s="208"/>
      <c r="N482" s="1419"/>
    </row>
    <row r="483" spans="1:14" x14ac:dyDescent="0.2">
      <c r="A483" s="1418"/>
      <c r="B483" s="208"/>
      <c r="C483" s="212"/>
      <c r="D483" s="208"/>
      <c r="E483" s="208"/>
      <c r="F483" s="208"/>
      <c r="G483" s="208"/>
      <c r="H483" s="208"/>
      <c r="I483" s="208"/>
      <c r="J483" s="208"/>
      <c r="K483" s="208"/>
      <c r="L483" s="208"/>
      <c r="M483" s="208"/>
      <c r="N483" s="1419"/>
    </row>
    <row r="484" spans="1:14" x14ac:dyDescent="0.2">
      <c r="A484" s="1418"/>
      <c r="B484" s="208"/>
      <c r="C484" s="212"/>
      <c r="D484" s="208"/>
      <c r="E484" s="208"/>
      <c r="F484" s="208"/>
      <c r="G484" s="208"/>
      <c r="H484" s="208"/>
      <c r="I484" s="208"/>
      <c r="J484" s="208"/>
      <c r="K484" s="208"/>
      <c r="L484" s="208"/>
      <c r="M484" s="208"/>
      <c r="N484" s="1419"/>
    </row>
    <row r="485" spans="1:14" x14ac:dyDescent="0.2">
      <c r="A485" s="1418"/>
      <c r="B485" s="208"/>
      <c r="C485" s="212"/>
      <c r="D485" s="208"/>
      <c r="E485" s="208"/>
      <c r="F485" s="208"/>
      <c r="G485" s="208"/>
      <c r="H485" s="208"/>
      <c r="I485" s="208"/>
      <c r="J485" s="208"/>
      <c r="K485" s="208"/>
      <c r="L485" s="208"/>
      <c r="M485" s="208"/>
      <c r="N485" s="1419"/>
    </row>
    <row r="486" spans="1:14" x14ac:dyDescent="0.2">
      <c r="A486" s="1418"/>
      <c r="B486" s="208"/>
      <c r="C486" s="212"/>
      <c r="D486" s="208"/>
      <c r="E486" s="208"/>
      <c r="F486" s="208"/>
      <c r="G486" s="208"/>
      <c r="H486" s="208"/>
      <c r="I486" s="208"/>
      <c r="J486" s="208"/>
      <c r="K486" s="208"/>
      <c r="L486" s="208"/>
      <c r="M486" s="208"/>
      <c r="N486" s="1419"/>
    </row>
    <row r="487" spans="1:14" x14ac:dyDescent="0.2">
      <c r="A487" s="1418"/>
      <c r="B487" s="208"/>
      <c r="C487" s="212"/>
      <c r="D487" s="208"/>
      <c r="E487" s="208"/>
      <c r="F487" s="208"/>
      <c r="G487" s="208"/>
      <c r="H487" s="208"/>
      <c r="I487" s="208"/>
      <c r="J487" s="208"/>
      <c r="K487" s="208"/>
      <c r="L487" s="208"/>
      <c r="M487" s="208"/>
      <c r="N487" s="1419"/>
    </row>
    <row r="488" spans="1:14" ht="13.5" thickBot="1" x14ac:dyDescent="0.25">
      <c r="A488" s="1420"/>
      <c r="B488" s="1421"/>
      <c r="C488" s="1422"/>
      <c r="D488" s="1421"/>
      <c r="E488" s="1421"/>
      <c r="F488" s="1421"/>
      <c r="G488" s="1421"/>
      <c r="H488" s="1421"/>
      <c r="I488" s="1421"/>
      <c r="J488" s="1421"/>
      <c r="K488" s="1421"/>
      <c r="L488" s="1421"/>
      <c r="M488" s="1421"/>
      <c r="N488" s="1423"/>
    </row>
    <row r="489" spans="1:14" x14ac:dyDescent="0.2">
      <c r="A489" s="1414"/>
      <c r="B489" s="1415"/>
      <c r="C489" s="1416"/>
      <c r="D489" s="1415"/>
      <c r="E489" s="1415"/>
      <c r="F489" s="1415"/>
      <c r="G489" s="1415"/>
      <c r="H489" s="1415"/>
      <c r="I489" s="1415"/>
      <c r="J489" s="1415"/>
      <c r="K489" s="1415"/>
      <c r="L489" s="1415"/>
      <c r="M489" s="1415"/>
      <c r="N489" s="1417"/>
    </row>
    <row r="490" spans="1:14" x14ac:dyDescent="0.2">
      <c r="A490" s="1418"/>
      <c r="B490" s="208"/>
      <c r="C490" s="212"/>
      <c r="D490" s="208"/>
      <c r="E490" s="208"/>
      <c r="F490" s="208"/>
      <c r="G490" s="208"/>
      <c r="H490" s="208"/>
      <c r="I490" s="208"/>
      <c r="J490" s="208"/>
      <c r="K490" s="208"/>
      <c r="L490" s="208"/>
      <c r="M490" s="208"/>
      <c r="N490" s="1419"/>
    </row>
    <row r="491" spans="1:14" x14ac:dyDescent="0.2">
      <c r="A491" s="1418"/>
      <c r="B491" s="208"/>
      <c r="C491" s="212"/>
      <c r="D491" s="208"/>
      <c r="E491" s="208"/>
      <c r="F491" s="208"/>
      <c r="G491" s="208"/>
      <c r="H491" s="208"/>
      <c r="I491" s="208"/>
      <c r="J491" s="208"/>
      <c r="K491" s="208"/>
      <c r="L491" s="208"/>
      <c r="M491" s="208"/>
      <c r="N491" s="1419"/>
    </row>
    <row r="492" spans="1:14" ht="13.5" thickBot="1" x14ac:dyDescent="0.25">
      <c r="A492" s="1420"/>
      <c r="B492" s="1421"/>
      <c r="C492" s="1422"/>
      <c r="D492" s="1421"/>
      <c r="E492" s="1421"/>
      <c r="F492" s="1421"/>
      <c r="G492" s="1421"/>
      <c r="H492" s="1421"/>
      <c r="I492" s="1421"/>
      <c r="J492" s="1421"/>
      <c r="K492" s="1421"/>
      <c r="L492" s="1421"/>
      <c r="M492" s="1421"/>
      <c r="N492" s="1423"/>
    </row>
  </sheetData>
  <mergeCells count="95">
    <mergeCell ref="A201:A212"/>
    <mergeCell ref="C203:C207"/>
    <mergeCell ref="C209:C212"/>
    <mergeCell ref="N201:N212"/>
    <mergeCell ref="A3:N3"/>
    <mergeCell ref="A4:A7"/>
    <mergeCell ref="B4:B7"/>
    <mergeCell ref="C4:C7"/>
    <mergeCell ref="D4:H4"/>
    <mergeCell ref="D5:D7"/>
    <mergeCell ref="E5:E7"/>
    <mergeCell ref="F5:F7"/>
    <mergeCell ref="I5:I7"/>
    <mergeCell ref="K6:K7"/>
    <mergeCell ref="L6:L7"/>
    <mergeCell ref="N4:N7"/>
    <mergeCell ref="G5:H5"/>
    <mergeCell ref="G6:G7"/>
    <mergeCell ref="H6:H7"/>
    <mergeCell ref="C35:C36"/>
    <mergeCell ref="I4:L4"/>
    <mergeCell ref="K5:L5"/>
    <mergeCell ref="C39:C42"/>
    <mergeCell ref="C44:C47"/>
    <mergeCell ref="A37:A47"/>
    <mergeCell ref="N37:N47"/>
    <mergeCell ref="L44:L45"/>
    <mergeCell ref="N30:N36"/>
    <mergeCell ref="C32:C33"/>
    <mergeCell ref="C19:C22"/>
    <mergeCell ref="A23:A29"/>
    <mergeCell ref="D23:H23"/>
    <mergeCell ref="N23:N29"/>
    <mergeCell ref="C25:C26"/>
    <mergeCell ref="C28:C29"/>
    <mergeCell ref="A153:A164"/>
    <mergeCell ref="N153:N164"/>
    <mergeCell ref="C155:C159"/>
    <mergeCell ref="C161:C164"/>
    <mergeCell ref="A96:A107"/>
    <mergeCell ref="N96:N107"/>
    <mergeCell ref="C98:C102"/>
    <mergeCell ref="C104:C107"/>
    <mergeCell ref="A129:A140"/>
    <mergeCell ref="N129:N140"/>
    <mergeCell ref="C131:C135"/>
    <mergeCell ref="C137:C140"/>
    <mergeCell ref="A120:A128"/>
    <mergeCell ref="N120:N128"/>
    <mergeCell ref="C122:C125"/>
    <mergeCell ref="C127:C128"/>
    <mergeCell ref="A189:A200"/>
    <mergeCell ref="N189:N200"/>
    <mergeCell ref="C191:C195"/>
    <mergeCell ref="C197:C200"/>
    <mergeCell ref="A141:A152"/>
    <mergeCell ref="N141:N152"/>
    <mergeCell ref="C143:C147"/>
    <mergeCell ref="C149:C152"/>
    <mergeCell ref="A165:A176"/>
    <mergeCell ref="N165:N176"/>
    <mergeCell ref="C167:C171"/>
    <mergeCell ref="C173:C176"/>
    <mergeCell ref="A177:A188"/>
    <mergeCell ref="N177:N188"/>
    <mergeCell ref="C179:C183"/>
    <mergeCell ref="C185:C188"/>
    <mergeCell ref="C80:C83"/>
    <mergeCell ref="A108:A119"/>
    <mergeCell ref="N108:N119"/>
    <mergeCell ref="C110:C114"/>
    <mergeCell ref="C116:C119"/>
    <mergeCell ref="A72:A83"/>
    <mergeCell ref="N72:N83"/>
    <mergeCell ref="C74:C78"/>
    <mergeCell ref="A84:A95"/>
    <mergeCell ref="N84:N95"/>
    <mergeCell ref="C86:C90"/>
    <mergeCell ref="C92:C95"/>
    <mergeCell ref="K1:L1"/>
    <mergeCell ref="A60:A71"/>
    <mergeCell ref="N60:N71"/>
    <mergeCell ref="C62:C66"/>
    <mergeCell ref="C68:C71"/>
    <mergeCell ref="A48:A59"/>
    <mergeCell ref="N48:N59"/>
    <mergeCell ref="C50:C54"/>
    <mergeCell ref="C56:C59"/>
    <mergeCell ref="M6:M7"/>
    <mergeCell ref="J5:J7"/>
    <mergeCell ref="A8:B8"/>
    <mergeCell ref="A12:A22"/>
    <mergeCell ref="N12:N22"/>
    <mergeCell ref="C13:C17"/>
    <mergeCell ref="A30:A36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51" orientation="portrait" useFirstPageNumber="1" r:id="rId1"/>
  <headerFooter alignWithMargins="0">
    <oddHeader>&amp;C&amp;"Arial,Kursywa"Informacja o wykonaniu budżetu Województwa Zachodniopomorskiego za I kwartał 2014 roku
______________________________________________________________________________________________________________________</oddHeader>
    <oddFooter>&amp;C&amp;8&amp;P</oddFooter>
  </headerFooter>
  <rowBreaks count="1" manualBreakCount="1">
    <brk id="8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BN1810"/>
  <sheetViews>
    <sheetView showGridLines="0" view="pageBreakPreview" zoomScaleNormal="100" zoomScaleSheetLayoutView="85" workbookViewId="0"/>
  </sheetViews>
  <sheetFormatPr defaultRowHeight="12.75" x14ac:dyDescent="0.2"/>
  <cols>
    <col min="1" max="1" width="3.7109375" style="1744" customWidth="1"/>
    <col min="2" max="2" width="50.85546875" style="1425" customWidth="1"/>
    <col min="3" max="3" width="11" style="1426" customWidth="1"/>
    <col min="4" max="4" width="11.7109375" style="1425" customWidth="1"/>
    <col min="5" max="5" width="15.28515625" style="1425" hidden="1" customWidth="1"/>
    <col min="6" max="6" width="13.140625" style="1425" hidden="1" customWidth="1"/>
    <col min="7" max="7" width="12.28515625" style="1425" customWidth="1"/>
    <col min="8" max="8" width="13" style="1425" customWidth="1"/>
    <col min="9" max="9" width="12.140625" style="1427" customWidth="1"/>
    <col min="10" max="10" width="10.42578125" style="1427" customWidth="1"/>
    <col min="11" max="11" width="12" style="1427" customWidth="1"/>
    <col min="12" max="12" width="9.85546875" style="1427" customWidth="1"/>
    <col min="13" max="13" width="15.140625" style="1427" hidden="1" customWidth="1"/>
    <col min="14" max="14" width="13.85546875" style="1428" customWidth="1"/>
    <col min="15" max="15" width="13" style="1429" customWidth="1"/>
    <col min="16" max="16" width="2.140625" style="1429" customWidth="1"/>
    <col min="17" max="17" width="17.7109375" style="1429" customWidth="1"/>
    <col min="18" max="19" width="9.5703125" style="1429" bestFit="1" customWidth="1"/>
    <col min="20" max="20" width="11.5703125" style="1429" customWidth="1"/>
    <col min="21" max="31" width="9.140625" style="1429"/>
    <col min="32" max="32" width="8.5703125" style="1429" customWidth="1"/>
    <col min="33" max="44" width="9.140625" style="1429"/>
    <col min="45" max="45" width="8.7109375" style="1429" customWidth="1"/>
    <col min="46" max="55" width="9.140625" style="1429"/>
    <col min="56" max="56" width="4.28515625" style="1429" customWidth="1"/>
    <col min="57" max="66" width="9.140625" style="1429"/>
    <col min="67" max="67" width="5" style="1429" customWidth="1"/>
    <col min="68" max="77" width="9.140625" style="1429"/>
    <col min="78" max="78" width="3.85546875" style="1429" customWidth="1"/>
    <col min="79" max="90" width="9.140625" style="1429"/>
    <col min="91" max="91" width="5.28515625" style="1429" customWidth="1"/>
    <col min="92" max="103" width="9.140625" style="1429"/>
    <col min="104" max="104" width="1.5703125" style="1429" customWidth="1"/>
    <col min="105" max="117" width="9.140625" style="1429"/>
    <col min="118" max="118" width="0.7109375" style="1429" customWidth="1"/>
    <col min="119" max="130" width="9.140625" style="1429"/>
    <col min="131" max="131" width="8.28515625" style="1429" customWidth="1"/>
    <col min="132" max="140" width="9.140625" style="1429"/>
    <col min="141" max="141" width="0.28515625" style="1429" customWidth="1"/>
    <col min="142" max="167" width="9.140625" style="1429"/>
    <col min="168" max="168" width="0.7109375" style="1429" customWidth="1"/>
    <col min="169" max="16384" width="9.140625" style="1429"/>
  </cols>
  <sheetData>
    <row r="1" spans="1:66" ht="20.25" customHeight="1" x14ac:dyDescent="0.3">
      <c r="A1" s="1424"/>
      <c r="I1" s="28"/>
      <c r="J1" s="3349" t="s">
        <v>380</v>
      </c>
      <c r="K1" s="3349"/>
      <c r="L1" s="3349"/>
    </row>
    <row r="2" spans="1:66" ht="5.25" customHeight="1" thickBot="1" x14ac:dyDescent="0.25">
      <c r="A2" s="1424"/>
      <c r="B2" s="1427"/>
      <c r="C2" s="1430"/>
      <c r="D2" s="1427"/>
      <c r="E2" s="1427"/>
      <c r="F2" s="1427"/>
      <c r="G2" s="1427"/>
      <c r="H2" s="1427"/>
      <c r="I2" s="1431"/>
      <c r="N2" s="1225"/>
    </row>
    <row r="3" spans="1:66" s="1432" customFormat="1" ht="23.25" thickBot="1" x14ac:dyDescent="0.25">
      <c r="A3" s="3357" t="s">
        <v>217</v>
      </c>
      <c r="B3" s="3358"/>
      <c r="C3" s="3358"/>
      <c r="D3" s="3358"/>
      <c r="E3" s="3358"/>
      <c r="F3" s="3358"/>
      <c r="G3" s="3358"/>
      <c r="H3" s="3358"/>
      <c r="I3" s="3359"/>
      <c r="J3" s="3359"/>
      <c r="K3" s="3359"/>
      <c r="L3" s="3359"/>
      <c r="M3" s="3359"/>
      <c r="N3" s="3360"/>
    </row>
    <row r="4" spans="1:66" s="252" customFormat="1" ht="45.75" customHeight="1" x14ac:dyDescent="0.2">
      <c r="A4" s="3361" t="s">
        <v>24</v>
      </c>
      <c r="B4" s="3364" t="s">
        <v>25</v>
      </c>
      <c r="C4" s="3367" t="s">
        <v>26</v>
      </c>
      <c r="D4" s="3026" t="s">
        <v>356</v>
      </c>
      <c r="E4" s="3027"/>
      <c r="F4" s="3027"/>
      <c r="G4" s="3027"/>
      <c r="H4" s="3028"/>
      <c r="I4" s="3026" t="s">
        <v>351</v>
      </c>
      <c r="J4" s="3027"/>
      <c r="K4" s="3027"/>
      <c r="L4" s="3262"/>
      <c r="M4" s="591"/>
      <c r="N4" s="3346" t="s">
        <v>27</v>
      </c>
    </row>
    <row r="5" spans="1:66" ht="26.25" customHeight="1" x14ac:dyDescent="0.2">
      <c r="A5" s="3362"/>
      <c r="B5" s="3365"/>
      <c r="C5" s="3368"/>
      <c r="D5" s="3031" t="s">
        <v>0</v>
      </c>
      <c r="E5" s="3072" t="s">
        <v>360</v>
      </c>
      <c r="F5" s="3075" t="s">
        <v>361</v>
      </c>
      <c r="G5" s="3029" t="s">
        <v>257</v>
      </c>
      <c r="H5" s="3030"/>
      <c r="I5" s="3235" t="s">
        <v>350</v>
      </c>
      <c r="J5" s="3259" t="s">
        <v>300</v>
      </c>
      <c r="K5" s="3069" t="s">
        <v>357</v>
      </c>
      <c r="L5" s="3225"/>
      <c r="M5" s="592"/>
      <c r="N5" s="3347"/>
    </row>
    <row r="6" spans="1:66" ht="39" customHeight="1" x14ac:dyDescent="0.2">
      <c r="A6" s="3362"/>
      <c r="B6" s="3365"/>
      <c r="C6" s="3368"/>
      <c r="D6" s="3032"/>
      <c r="E6" s="3073"/>
      <c r="F6" s="3076"/>
      <c r="G6" s="3059" t="s">
        <v>349</v>
      </c>
      <c r="H6" s="3061" t="s">
        <v>355</v>
      </c>
      <c r="I6" s="3236"/>
      <c r="J6" s="3260"/>
      <c r="K6" s="3078" t="s">
        <v>359</v>
      </c>
      <c r="L6" s="3239" t="s">
        <v>301</v>
      </c>
      <c r="M6" s="3241" t="s">
        <v>302</v>
      </c>
      <c r="N6" s="3347"/>
    </row>
    <row r="7" spans="1:66" ht="72" customHeight="1" thickBot="1" x14ac:dyDescent="0.25">
      <c r="A7" s="3363"/>
      <c r="B7" s="3366"/>
      <c r="C7" s="3369"/>
      <c r="D7" s="3243"/>
      <c r="E7" s="3244"/>
      <c r="F7" s="3345"/>
      <c r="G7" s="3274"/>
      <c r="H7" s="3275"/>
      <c r="I7" s="3237"/>
      <c r="J7" s="3261"/>
      <c r="K7" s="3238"/>
      <c r="L7" s="3240"/>
      <c r="M7" s="3242"/>
      <c r="N7" s="3348"/>
    </row>
    <row r="8" spans="1:66" s="1433" customFormat="1" ht="12" customHeight="1" thickBot="1" x14ac:dyDescent="0.25">
      <c r="A8" s="3223">
        <v>1</v>
      </c>
      <c r="B8" s="3224"/>
      <c r="C8" s="593">
        <v>2</v>
      </c>
      <c r="D8" s="594">
        <v>3</v>
      </c>
      <c r="E8" s="595"/>
      <c r="F8" s="595"/>
      <c r="G8" s="595">
        <v>4</v>
      </c>
      <c r="H8" s="593">
        <v>5</v>
      </c>
      <c r="I8" s="594">
        <v>6</v>
      </c>
      <c r="J8" s="595">
        <v>7</v>
      </c>
      <c r="K8" s="595">
        <v>8</v>
      </c>
      <c r="L8" s="596">
        <v>9</v>
      </c>
      <c r="M8" s="596">
        <v>10</v>
      </c>
      <c r="N8" s="597">
        <v>10</v>
      </c>
      <c r="Q8" s="1434"/>
    </row>
    <row r="9" spans="1:66" s="611" customFormat="1" ht="18" customHeight="1" thickBot="1" x14ac:dyDescent="0.25">
      <c r="A9" s="599"/>
      <c r="B9" s="600" t="s">
        <v>162</v>
      </c>
      <c r="C9" s="601"/>
      <c r="D9" s="602">
        <f t="shared" ref="D9" si="0">D10+D11</f>
        <v>116401162.0325</v>
      </c>
      <c r="E9" s="605">
        <f t="shared" ref="E9:H9" si="1">E10+E11</f>
        <v>50130886.032499999</v>
      </c>
      <c r="F9" s="1435">
        <f t="shared" si="1"/>
        <v>8536871</v>
      </c>
      <c r="G9" s="605">
        <f t="shared" si="1"/>
        <v>25518575</v>
      </c>
      <c r="H9" s="606">
        <f t="shared" si="1"/>
        <v>32214830</v>
      </c>
      <c r="I9" s="602">
        <f>I10+I11</f>
        <v>58653195.032499999</v>
      </c>
      <c r="J9" s="607">
        <f>+I9/D9*100</f>
        <v>50.388839774746941</v>
      </c>
      <c r="K9" s="603">
        <f>K10+K11</f>
        <v>1324722</v>
      </c>
      <c r="L9" s="607">
        <f>+K9/G9*100</f>
        <v>5.1912067974015006</v>
      </c>
      <c r="M9" s="605">
        <f t="shared" ref="M9:M13" si="2">+K9-G9</f>
        <v>-24193853</v>
      </c>
      <c r="N9" s="1436"/>
      <c r="O9" s="1437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10"/>
      <c r="AE9" s="610"/>
      <c r="AF9" s="610"/>
      <c r="AG9" s="610"/>
      <c r="AH9" s="610"/>
      <c r="AI9" s="610"/>
      <c r="AJ9" s="610"/>
      <c r="AK9" s="610"/>
      <c r="AL9" s="610"/>
      <c r="AM9" s="610"/>
      <c r="AN9" s="610"/>
      <c r="AO9" s="610"/>
      <c r="AP9" s="610"/>
      <c r="AQ9" s="610"/>
      <c r="AR9" s="610"/>
      <c r="AS9" s="610"/>
      <c r="AT9" s="610"/>
      <c r="AU9" s="610"/>
      <c r="AV9" s="610"/>
      <c r="AW9" s="610"/>
      <c r="AX9" s="610"/>
      <c r="AY9" s="610"/>
      <c r="AZ9" s="610"/>
      <c r="BA9" s="610"/>
      <c r="BB9" s="610"/>
      <c r="BC9" s="610"/>
      <c r="BD9" s="610"/>
      <c r="BE9" s="610"/>
      <c r="BF9" s="610"/>
      <c r="BG9" s="610"/>
      <c r="BH9" s="610"/>
      <c r="BI9" s="610"/>
      <c r="BJ9" s="610"/>
      <c r="BK9" s="610"/>
      <c r="BL9" s="610"/>
      <c r="BM9" s="610"/>
      <c r="BN9" s="610"/>
    </row>
    <row r="10" spans="1:66" s="621" customFormat="1" ht="14.25" customHeight="1" thickTop="1" x14ac:dyDescent="0.2">
      <c r="A10" s="612"/>
      <c r="B10" s="613" t="s">
        <v>163</v>
      </c>
      <c r="C10" s="614"/>
      <c r="D10" s="39">
        <f>+D67+D72+D76</f>
        <v>16060500</v>
      </c>
      <c r="E10" s="1438">
        <f>E67+E72+E76</f>
        <v>0</v>
      </c>
      <c r="F10" s="1438">
        <f>F67+F72+F76</f>
        <v>1339284</v>
      </c>
      <c r="G10" s="1438">
        <f>G67+G72+G76</f>
        <v>3574944</v>
      </c>
      <c r="H10" s="1438">
        <f>H67+H72+H76</f>
        <v>11146272</v>
      </c>
      <c r="I10" s="42">
        <f>I67+I72+I76</f>
        <v>0</v>
      </c>
      <c r="J10" s="1092">
        <f>+I10/D10*100</f>
        <v>0</v>
      </c>
      <c r="K10" s="1439">
        <f>K67+K72+K76</f>
        <v>0</v>
      </c>
      <c r="L10" s="1440">
        <f>+K10/G10*100</f>
        <v>0</v>
      </c>
      <c r="M10" s="617">
        <f t="shared" si="2"/>
        <v>-3574944</v>
      </c>
      <c r="N10" s="1441"/>
      <c r="O10" s="619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0"/>
      <c r="AI10" s="620"/>
      <c r="AJ10" s="620"/>
      <c r="AK10" s="620"/>
      <c r="AL10" s="620"/>
      <c r="AM10" s="620"/>
      <c r="AN10" s="620"/>
      <c r="AO10" s="620"/>
      <c r="AP10" s="620"/>
      <c r="AQ10" s="620"/>
      <c r="AR10" s="620"/>
      <c r="AS10" s="620"/>
      <c r="AT10" s="620"/>
      <c r="AU10" s="620"/>
      <c r="AV10" s="620"/>
      <c r="AW10" s="620"/>
      <c r="AX10" s="620"/>
      <c r="AY10" s="620"/>
      <c r="AZ10" s="620"/>
      <c r="BA10" s="620"/>
      <c r="BB10" s="620"/>
      <c r="BC10" s="620"/>
      <c r="BD10" s="620"/>
      <c r="BE10" s="620"/>
      <c r="BF10" s="620"/>
      <c r="BG10" s="620"/>
      <c r="BH10" s="620"/>
      <c r="BI10" s="620"/>
      <c r="BJ10" s="620"/>
      <c r="BK10" s="620"/>
      <c r="BL10" s="620"/>
      <c r="BM10" s="620"/>
      <c r="BN10" s="620"/>
    </row>
    <row r="11" spans="1:66" s="611" customFormat="1" ht="14.25" customHeight="1" thickBot="1" x14ac:dyDescent="0.25">
      <c r="A11" s="622"/>
      <c r="B11" s="623" t="s">
        <v>164</v>
      </c>
      <c r="C11" s="624"/>
      <c r="D11" s="1098">
        <f>D31+D41+D54+D55+D56+D42</f>
        <v>100340662.0325</v>
      </c>
      <c r="E11" s="1098">
        <f t="shared" ref="E11:K11" si="3">E31+E41+E54+E55+E56+E42</f>
        <v>50130886.032499999</v>
      </c>
      <c r="F11" s="1098">
        <f t="shared" si="3"/>
        <v>7197587</v>
      </c>
      <c r="G11" s="1098">
        <f t="shared" si="3"/>
        <v>21943631</v>
      </c>
      <c r="H11" s="1098">
        <f t="shared" si="3"/>
        <v>21068558</v>
      </c>
      <c r="I11" s="1098">
        <f t="shared" si="3"/>
        <v>58653195.032499999</v>
      </c>
      <c r="J11" s="1442">
        <f>+I11/D11*100</f>
        <v>58.454064229217892</v>
      </c>
      <c r="K11" s="1098">
        <f t="shared" si="3"/>
        <v>1324722</v>
      </c>
      <c r="L11" s="1099">
        <f>+K11/G11*100</f>
        <v>6.0369316272224953</v>
      </c>
      <c r="M11" s="629">
        <f t="shared" si="2"/>
        <v>-20618909</v>
      </c>
      <c r="N11" s="1436"/>
      <c r="O11" s="630"/>
      <c r="P11" s="610"/>
      <c r="Q11" s="610"/>
      <c r="R11" s="610"/>
      <c r="S11" s="610"/>
      <c r="T11" s="610"/>
      <c r="U11" s="610"/>
      <c r="V11" s="610"/>
      <c r="W11" s="610"/>
      <c r="X11" s="610"/>
      <c r="Y11" s="610"/>
      <c r="Z11" s="610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610"/>
      <c r="AS11" s="610"/>
      <c r="AT11" s="610"/>
      <c r="AU11" s="610"/>
      <c r="AV11" s="610"/>
      <c r="AW11" s="610"/>
      <c r="AX11" s="610"/>
      <c r="AY11" s="610"/>
      <c r="AZ11" s="610"/>
      <c r="BA11" s="610"/>
      <c r="BB11" s="610"/>
      <c r="BC11" s="610"/>
      <c r="BD11" s="610"/>
      <c r="BE11" s="610"/>
      <c r="BF11" s="610"/>
      <c r="BG11" s="610"/>
      <c r="BH11" s="610"/>
      <c r="BI11" s="610"/>
      <c r="BJ11" s="610"/>
      <c r="BK11" s="610"/>
      <c r="BL11" s="610"/>
      <c r="BM11" s="610"/>
      <c r="BN11" s="610"/>
    </row>
    <row r="12" spans="1:66" s="1450" customFormat="1" ht="14.25" customHeight="1" x14ac:dyDescent="0.2">
      <c r="A12" s="3354"/>
      <c r="B12" s="1443" t="s">
        <v>2</v>
      </c>
      <c r="C12" s="1444"/>
      <c r="D12" s="1445">
        <f t="shared" ref="D12:I12" si="4">SUM(D13,D19)</f>
        <v>252282746.0325</v>
      </c>
      <c r="E12" s="1445">
        <f t="shared" si="4"/>
        <v>119874625.0325</v>
      </c>
      <c r="F12" s="1445">
        <f>SUM(F13,F19)</f>
        <v>36929220</v>
      </c>
      <c r="G12" s="1445">
        <f t="shared" si="4"/>
        <v>47042644</v>
      </c>
      <c r="H12" s="1445">
        <f t="shared" si="4"/>
        <v>48436256</v>
      </c>
      <c r="I12" s="1446">
        <f t="shared" si="4"/>
        <v>144991173.0325</v>
      </c>
      <c r="J12" s="637">
        <f t="shared" ref="J12:J26" si="5">+I12/D12*100</f>
        <v>57.471696068276387</v>
      </c>
      <c r="K12" s="1447">
        <f>SUM(K13,K19)</f>
        <v>3123899</v>
      </c>
      <c r="L12" s="637">
        <f t="shared" ref="L12:L26" si="6">+K12/G12*100</f>
        <v>6.6405685020595353</v>
      </c>
      <c r="M12" s="1448">
        <f t="shared" si="2"/>
        <v>-43918745</v>
      </c>
      <c r="N12" s="3370"/>
      <c r="O12" s="1449"/>
      <c r="Q12" s="1449"/>
      <c r="R12" s="1449"/>
      <c r="T12" s="1449"/>
    </row>
    <row r="13" spans="1:66" s="1456" customFormat="1" ht="14.25" customHeight="1" x14ac:dyDescent="0.2">
      <c r="A13" s="3355"/>
      <c r="B13" s="1451" t="s">
        <v>3</v>
      </c>
      <c r="C13" s="3373"/>
      <c r="D13" s="1452">
        <f>SUM(D14:D18)</f>
        <v>187120750.0325</v>
      </c>
      <c r="E13" s="1452">
        <f t="shared" ref="E13:H13" si="7">SUM(E14:E18)</f>
        <v>71884955.032499999</v>
      </c>
      <c r="F13" s="1452">
        <f t="shared" si="7"/>
        <v>34875924</v>
      </c>
      <c r="G13" s="1452">
        <f t="shared" si="7"/>
        <v>31923614</v>
      </c>
      <c r="H13" s="1452">
        <f t="shared" si="7"/>
        <v>48436256</v>
      </c>
      <c r="I13" s="1452">
        <f>SUM(I14:I18)</f>
        <v>98069353.032499999</v>
      </c>
      <c r="J13" s="1453">
        <f t="shared" si="5"/>
        <v>52.409662218362662</v>
      </c>
      <c r="K13" s="1454">
        <f t="shared" ref="K13" si="8">SUM(K14:K18)</f>
        <v>3123899</v>
      </c>
      <c r="L13" s="646">
        <f t="shared" si="6"/>
        <v>9.785543077923446</v>
      </c>
      <c r="M13" s="1455">
        <f t="shared" si="2"/>
        <v>-28799715</v>
      </c>
      <c r="N13" s="3371"/>
      <c r="O13" s="1437"/>
      <c r="Q13" s="1457"/>
    </row>
    <row r="14" spans="1:66" s="1456" customFormat="1" ht="14.25" customHeight="1" x14ac:dyDescent="0.2">
      <c r="A14" s="3355"/>
      <c r="B14" s="1458" t="s">
        <v>4</v>
      </c>
      <c r="C14" s="3374"/>
      <c r="D14" s="1459">
        <f>D76+D72+D67</f>
        <v>16060500</v>
      </c>
      <c r="E14" s="1459">
        <f t="shared" ref="E14:M14" si="9">E76+E72+E67</f>
        <v>0</v>
      </c>
      <c r="F14" s="1459">
        <f t="shared" si="9"/>
        <v>1339284</v>
      </c>
      <c r="G14" s="1459">
        <f t="shared" si="9"/>
        <v>3574944</v>
      </c>
      <c r="H14" s="1459">
        <f t="shared" si="9"/>
        <v>11146272</v>
      </c>
      <c r="I14" s="1459">
        <f t="shared" si="9"/>
        <v>0</v>
      </c>
      <c r="J14" s="1460">
        <f t="shared" si="5"/>
        <v>0</v>
      </c>
      <c r="K14" s="1461">
        <f t="shared" si="9"/>
        <v>0</v>
      </c>
      <c r="L14" s="657">
        <f t="shared" si="6"/>
        <v>0</v>
      </c>
      <c r="M14" s="1459">
        <f t="shared" si="9"/>
        <v>-3334944</v>
      </c>
      <c r="N14" s="3371"/>
      <c r="O14" s="1437"/>
      <c r="Q14" s="1457"/>
    </row>
    <row r="15" spans="1:66" s="1468" customFormat="1" ht="14.25" customHeight="1" x14ac:dyDescent="0.2">
      <c r="A15" s="3355"/>
      <c r="B15" s="1462" t="s">
        <v>6</v>
      </c>
      <c r="C15" s="3375"/>
      <c r="D15" s="1463">
        <f>SUM(D30,D40,D53,D66,D71)</f>
        <v>70719588</v>
      </c>
      <c r="E15" s="1463">
        <f t="shared" ref="E15:H15" si="10">SUM(E30,E40,E53,E66,E71)</f>
        <v>21754069</v>
      </c>
      <c r="F15" s="1463">
        <f t="shared" si="10"/>
        <v>26339053</v>
      </c>
      <c r="G15" s="1463">
        <f t="shared" si="10"/>
        <v>6405039</v>
      </c>
      <c r="H15" s="1463">
        <f t="shared" si="10"/>
        <v>16221426</v>
      </c>
      <c r="I15" s="1464">
        <f t="shared" ref="I15:I16" si="11">SUM(I30,I40,I53)</f>
        <v>39416158</v>
      </c>
      <c r="J15" s="1465">
        <f t="shared" si="5"/>
        <v>55.735842239352415</v>
      </c>
      <c r="K15" s="1466">
        <f>SUM(K30,K40,K53)</f>
        <v>1799177</v>
      </c>
      <c r="L15" s="657">
        <f t="shared" si="6"/>
        <v>28.09002412007171</v>
      </c>
      <c r="M15" s="1467">
        <f t="shared" ref="M15:M18" si="12">+K15-G15</f>
        <v>-4605862</v>
      </c>
      <c r="N15" s="3371"/>
      <c r="O15" s="1437"/>
      <c r="P15" s="1437"/>
      <c r="Q15" s="1437"/>
    </row>
    <row r="16" spans="1:66" s="1468" customFormat="1" ht="12" customHeight="1" x14ac:dyDescent="0.2">
      <c r="A16" s="3355"/>
      <c r="B16" s="1469" t="s">
        <v>5</v>
      </c>
      <c r="C16" s="3375"/>
      <c r="D16" s="1470">
        <f>SUM(D31,D41,D54)</f>
        <v>53906619.032499999</v>
      </c>
      <c r="E16" s="1470">
        <f t="shared" ref="E16:H16" si="13">SUM(E31,E41,E54)</f>
        <v>36010931.032499999</v>
      </c>
      <c r="F16" s="1470">
        <f t="shared" si="13"/>
        <v>2792250</v>
      </c>
      <c r="G16" s="1470">
        <f t="shared" si="13"/>
        <v>7224195</v>
      </c>
      <c r="H16" s="1470">
        <f t="shared" si="13"/>
        <v>7879243</v>
      </c>
      <c r="I16" s="1471">
        <f t="shared" si="11"/>
        <v>38803181.032499999</v>
      </c>
      <c r="J16" s="1465">
        <f t="shared" si="5"/>
        <v>71.982219862658752</v>
      </c>
      <c r="K16" s="1472">
        <f>SUM(K31,K41,K54)</f>
        <v>0</v>
      </c>
      <c r="L16" s="1473">
        <f t="shared" si="6"/>
        <v>0</v>
      </c>
      <c r="M16" s="1467">
        <f t="shared" si="12"/>
        <v>-7224195</v>
      </c>
      <c r="N16" s="3371"/>
      <c r="O16" s="1437"/>
      <c r="Q16" s="1437"/>
      <c r="R16" s="1437"/>
    </row>
    <row r="17" spans="1:19" s="1468" customFormat="1" ht="14.25" customHeight="1" x14ac:dyDescent="0.2">
      <c r="A17" s="3355"/>
      <c r="B17" s="1474" t="s">
        <v>7</v>
      </c>
      <c r="C17" s="3375"/>
      <c r="D17" s="1470">
        <f>D55+D42</f>
        <v>38234043</v>
      </c>
      <c r="E17" s="1470">
        <f t="shared" ref="E17:M17" si="14">E55+E42</f>
        <v>9919955</v>
      </c>
      <c r="F17" s="1470">
        <f t="shared" si="14"/>
        <v>3882193</v>
      </c>
      <c r="G17" s="1470">
        <f t="shared" si="14"/>
        <v>11242580</v>
      </c>
      <c r="H17" s="1470">
        <f t="shared" si="14"/>
        <v>13189315</v>
      </c>
      <c r="I17" s="1470">
        <f t="shared" si="14"/>
        <v>15126870</v>
      </c>
      <c r="J17" s="1465">
        <f t="shared" si="5"/>
        <v>39.563877667867878</v>
      </c>
      <c r="K17" s="1472">
        <f t="shared" si="14"/>
        <v>1324722</v>
      </c>
      <c r="L17" s="1475">
        <f t="shared" si="6"/>
        <v>11.783078261395517</v>
      </c>
      <c r="M17" s="1470">
        <f t="shared" si="14"/>
        <v>-9917858</v>
      </c>
      <c r="N17" s="3371"/>
      <c r="O17" s="1437"/>
      <c r="Q17" s="1437"/>
      <c r="R17" s="1437"/>
      <c r="S17" s="1437"/>
    </row>
    <row r="18" spans="1:19" s="1468" customFormat="1" ht="11.25" customHeight="1" x14ac:dyDescent="0.2">
      <c r="A18" s="3355"/>
      <c r="B18" s="1474" t="s">
        <v>122</v>
      </c>
      <c r="C18" s="3375"/>
      <c r="D18" s="1470">
        <f t="shared" ref="D18:H18" si="15">D56</f>
        <v>8200000</v>
      </c>
      <c r="E18" s="1470">
        <f t="shared" si="15"/>
        <v>4200000</v>
      </c>
      <c r="F18" s="1470">
        <f t="shared" si="15"/>
        <v>523144</v>
      </c>
      <c r="G18" s="1470">
        <f t="shared" si="15"/>
        <v>3476856</v>
      </c>
      <c r="H18" s="1470">
        <f t="shared" si="15"/>
        <v>0</v>
      </c>
      <c r="I18" s="1476">
        <f>I56</f>
        <v>4723144</v>
      </c>
      <c r="J18" s="1465">
        <f t="shared" si="5"/>
        <v>57.599317073170731</v>
      </c>
      <c r="K18" s="1466">
        <f>K56</f>
        <v>0</v>
      </c>
      <c r="L18" s="1475">
        <f t="shared" si="6"/>
        <v>0</v>
      </c>
      <c r="M18" s="1467">
        <f t="shared" si="12"/>
        <v>-3476856</v>
      </c>
      <c r="N18" s="3371"/>
      <c r="O18" s="1437"/>
      <c r="Q18" s="1437"/>
      <c r="S18" s="1437"/>
    </row>
    <row r="19" spans="1:19" s="1456" customFormat="1" ht="12.75" customHeight="1" x14ac:dyDescent="0.2">
      <c r="A19" s="3355"/>
      <c r="B19" s="1451" t="s">
        <v>12</v>
      </c>
      <c r="C19" s="3375"/>
      <c r="D19" s="1477">
        <f t="shared" ref="D19:K19" si="16">SUM(D20:D20)</f>
        <v>65161996</v>
      </c>
      <c r="E19" s="1477">
        <f t="shared" si="16"/>
        <v>47989670</v>
      </c>
      <c r="F19" s="1477">
        <f t="shared" si="16"/>
        <v>2053296</v>
      </c>
      <c r="G19" s="1477">
        <f t="shared" si="16"/>
        <v>15119030</v>
      </c>
      <c r="H19" s="1477">
        <f t="shared" si="16"/>
        <v>0</v>
      </c>
      <c r="I19" s="1478">
        <f t="shared" si="16"/>
        <v>46921820</v>
      </c>
      <c r="J19" s="1479">
        <f t="shared" si="5"/>
        <v>72.007953838614768</v>
      </c>
      <c r="K19" s="1480">
        <f t="shared" si="16"/>
        <v>0</v>
      </c>
      <c r="L19" s="1479">
        <f t="shared" si="6"/>
        <v>0</v>
      </c>
      <c r="M19" s="1455">
        <f t="shared" ref="M19:M26" si="17">+K19-G19</f>
        <v>-15119030</v>
      </c>
      <c r="N19" s="3371"/>
      <c r="O19" s="1437"/>
      <c r="Q19" s="1457"/>
    </row>
    <row r="20" spans="1:19" s="1468" customFormat="1" ht="12" customHeight="1" x14ac:dyDescent="0.2">
      <c r="A20" s="3355"/>
      <c r="B20" s="1481" t="s">
        <v>15</v>
      </c>
      <c r="C20" s="3376"/>
      <c r="D20" s="1470">
        <f>D33+D44</f>
        <v>65161996</v>
      </c>
      <c r="E20" s="1470">
        <f t="shared" ref="E20:K20" si="18">E33+E44</f>
        <v>47989670</v>
      </c>
      <c r="F20" s="1470">
        <f t="shared" si="18"/>
        <v>2053296</v>
      </c>
      <c r="G20" s="1470">
        <f t="shared" si="18"/>
        <v>15119030</v>
      </c>
      <c r="H20" s="1470">
        <f t="shared" si="18"/>
        <v>0</v>
      </c>
      <c r="I20" s="1470">
        <f t="shared" si="18"/>
        <v>46921820</v>
      </c>
      <c r="J20" s="1465">
        <f t="shared" si="5"/>
        <v>72.007953838614768</v>
      </c>
      <c r="K20" s="1482">
        <f t="shared" si="18"/>
        <v>0</v>
      </c>
      <c r="L20" s="1475">
        <f t="shared" si="6"/>
        <v>0</v>
      </c>
      <c r="M20" s="1482">
        <f t="shared" si="17"/>
        <v>-15119030</v>
      </c>
      <c r="N20" s="3371"/>
      <c r="O20" s="1437"/>
    </row>
    <row r="21" spans="1:19" s="1468" customFormat="1" ht="12.75" customHeight="1" x14ac:dyDescent="0.2">
      <c r="A21" s="3355"/>
      <c r="B21" s="220" t="s">
        <v>16</v>
      </c>
      <c r="C21" s="919"/>
      <c r="D21" s="1483">
        <f t="shared" ref="D21:I21" si="19">+D22+D25</f>
        <v>111596039</v>
      </c>
      <c r="E21" s="1483">
        <f t="shared" si="19"/>
        <v>62109625</v>
      </c>
      <c r="F21" s="1483">
        <f t="shared" si="19"/>
        <v>6458633</v>
      </c>
      <c r="G21" s="1483">
        <f t="shared" si="19"/>
        <v>29838466</v>
      </c>
      <c r="H21" s="1483">
        <f t="shared" si="19"/>
        <v>13189315</v>
      </c>
      <c r="I21" s="1484">
        <f t="shared" si="19"/>
        <v>66771834</v>
      </c>
      <c r="J21" s="1485">
        <f t="shared" si="5"/>
        <v>59.833516134026944</v>
      </c>
      <c r="K21" s="1486">
        <f>+K22+K25</f>
        <v>1324722</v>
      </c>
      <c r="L21" s="1485">
        <f t="shared" si="6"/>
        <v>4.4396451211667509</v>
      </c>
      <c r="M21" s="1487">
        <f t="shared" si="17"/>
        <v>-28513744</v>
      </c>
      <c r="N21" s="3371"/>
      <c r="O21" s="1437"/>
    </row>
    <row r="22" spans="1:19" s="1456" customFormat="1" ht="12.75" customHeight="1" x14ac:dyDescent="0.2">
      <c r="A22" s="3355"/>
      <c r="B22" s="1488" t="s">
        <v>3</v>
      </c>
      <c r="C22" s="3377"/>
      <c r="D22" s="1489">
        <f t="shared" ref="D22:I22" si="20">+D23+D24</f>
        <v>46434043</v>
      </c>
      <c r="E22" s="1489">
        <f t="shared" si="20"/>
        <v>14119955</v>
      </c>
      <c r="F22" s="1489">
        <f t="shared" si="20"/>
        <v>4405337</v>
      </c>
      <c r="G22" s="1489">
        <f t="shared" si="20"/>
        <v>14719436</v>
      </c>
      <c r="H22" s="1489">
        <f t="shared" si="20"/>
        <v>13189315</v>
      </c>
      <c r="I22" s="1490">
        <f t="shared" si="20"/>
        <v>19850014</v>
      </c>
      <c r="J22" s="1491">
        <f t="shared" si="5"/>
        <v>42.748838389971773</v>
      </c>
      <c r="K22" s="1492">
        <f>+K23+K24</f>
        <v>1324722</v>
      </c>
      <c r="L22" s="1491">
        <f t="shared" si="6"/>
        <v>8.9998149385615047</v>
      </c>
      <c r="M22" s="1455">
        <f t="shared" si="17"/>
        <v>-13394714</v>
      </c>
      <c r="N22" s="3371"/>
      <c r="O22" s="1437"/>
    </row>
    <row r="23" spans="1:19" s="1468" customFormat="1" ht="12" customHeight="1" x14ac:dyDescent="0.2">
      <c r="A23" s="3355"/>
      <c r="B23" s="1493" t="s">
        <v>7</v>
      </c>
      <c r="C23" s="3378"/>
      <c r="D23" s="1494">
        <f>D61+D42</f>
        <v>38234043</v>
      </c>
      <c r="E23" s="1494">
        <f>E61+E42</f>
        <v>9919955</v>
      </c>
      <c r="F23" s="1494">
        <f t="shared" ref="F23:K23" si="21">F61+F42</f>
        <v>3882193</v>
      </c>
      <c r="G23" s="1494">
        <f t="shared" si="21"/>
        <v>11242580</v>
      </c>
      <c r="H23" s="1494">
        <f t="shared" si="21"/>
        <v>13189315</v>
      </c>
      <c r="I23" s="1494">
        <f t="shared" si="21"/>
        <v>15126870</v>
      </c>
      <c r="J23" s="1495">
        <f t="shared" si="5"/>
        <v>39.563877667867878</v>
      </c>
      <c r="K23" s="1496">
        <f t="shared" si="21"/>
        <v>1324722</v>
      </c>
      <c r="L23" s="1495">
        <f t="shared" si="6"/>
        <v>11.783078261395517</v>
      </c>
      <c r="M23" s="1497">
        <f t="shared" si="17"/>
        <v>-9917858</v>
      </c>
      <c r="N23" s="3371"/>
      <c r="O23" s="1437"/>
      <c r="Q23" s="1437"/>
    </row>
    <row r="24" spans="1:19" s="1468" customFormat="1" x14ac:dyDescent="0.2">
      <c r="A24" s="3355"/>
      <c r="B24" s="1498" t="s">
        <v>122</v>
      </c>
      <c r="C24" s="3378"/>
      <c r="D24" s="1499">
        <f>D62</f>
        <v>8200000</v>
      </c>
      <c r="E24" s="1499">
        <f t="shared" ref="E24:H24" si="22">E62</f>
        <v>4200000</v>
      </c>
      <c r="F24" s="1499">
        <f t="shared" si="22"/>
        <v>523144</v>
      </c>
      <c r="G24" s="1499">
        <f t="shared" si="22"/>
        <v>3476856</v>
      </c>
      <c r="H24" s="1499">
        <f t="shared" si="22"/>
        <v>0</v>
      </c>
      <c r="I24" s="1500">
        <f>I62</f>
        <v>4723144</v>
      </c>
      <c r="J24" s="1495">
        <f t="shared" si="5"/>
        <v>57.599317073170731</v>
      </c>
      <c r="K24" s="1496">
        <f>K62</f>
        <v>0</v>
      </c>
      <c r="L24" s="1495">
        <f t="shared" si="6"/>
        <v>0</v>
      </c>
      <c r="M24" s="1497">
        <f t="shared" si="17"/>
        <v>-3476856</v>
      </c>
      <c r="N24" s="3371"/>
      <c r="O24" s="1437"/>
      <c r="Q24" s="1437"/>
    </row>
    <row r="25" spans="1:19" s="1468" customFormat="1" x14ac:dyDescent="0.2">
      <c r="A25" s="3355"/>
      <c r="B25" s="1488" t="s">
        <v>12</v>
      </c>
      <c r="C25" s="3378"/>
      <c r="D25" s="1501">
        <f t="shared" ref="D25:K25" si="23">+D26</f>
        <v>65161996</v>
      </c>
      <c r="E25" s="1501">
        <f t="shared" si="23"/>
        <v>47989670</v>
      </c>
      <c r="F25" s="1501">
        <f t="shared" si="23"/>
        <v>2053296</v>
      </c>
      <c r="G25" s="1501">
        <f t="shared" si="23"/>
        <v>15119030</v>
      </c>
      <c r="H25" s="1501">
        <f t="shared" si="23"/>
        <v>0</v>
      </c>
      <c r="I25" s="1502">
        <f t="shared" si="23"/>
        <v>46921820</v>
      </c>
      <c r="J25" s="1503">
        <f t="shared" si="5"/>
        <v>72.007953838614768</v>
      </c>
      <c r="K25" s="1504">
        <f t="shared" si="23"/>
        <v>0</v>
      </c>
      <c r="L25" s="1503">
        <f t="shared" si="6"/>
        <v>0</v>
      </c>
      <c r="M25" s="1505">
        <f t="shared" si="17"/>
        <v>-15119030</v>
      </c>
      <c r="N25" s="3371"/>
      <c r="O25" s="1437"/>
      <c r="Q25" s="1437"/>
    </row>
    <row r="26" spans="1:19" s="1468" customFormat="1" ht="14.25" customHeight="1" thickBot="1" x14ac:dyDescent="0.25">
      <c r="A26" s="3356"/>
      <c r="B26" s="1506" t="s">
        <v>15</v>
      </c>
      <c r="C26" s="3379"/>
      <c r="D26" s="1507">
        <f t="shared" ref="D26:I26" si="24">D36+D49</f>
        <v>65161996</v>
      </c>
      <c r="E26" s="1507">
        <f t="shared" si="24"/>
        <v>47989670</v>
      </c>
      <c r="F26" s="1507">
        <f t="shared" si="24"/>
        <v>2053296</v>
      </c>
      <c r="G26" s="1507">
        <f t="shared" si="24"/>
        <v>15119030</v>
      </c>
      <c r="H26" s="1507">
        <f t="shared" si="24"/>
        <v>0</v>
      </c>
      <c r="I26" s="1508">
        <f t="shared" si="24"/>
        <v>46921820</v>
      </c>
      <c r="J26" s="1509">
        <f t="shared" si="5"/>
        <v>72.007953838614768</v>
      </c>
      <c r="K26" s="1510">
        <f>K36+K49</f>
        <v>0</v>
      </c>
      <c r="L26" s="1509">
        <f t="shared" si="6"/>
        <v>0</v>
      </c>
      <c r="M26" s="1511">
        <f t="shared" si="17"/>
        <v>-15119030</v>
      </c>
      <c r="N26" s="3372"/>
      <c r="O26" s="1437"/>
      <c r="Q26" s="1437"/>
    </row>
    <row r="27" spans="1:19" s="1519" customFormat="1" ht="39" customHeight="1" thickBot="1" x14ac:dyDescent="0.25">
      <c r="A27" s="3380" t="s">
        <v>32</v>
      </c>
      <c r="B27" s="1512" t="s">
        <v>123</v>
      </c>
      <c r="C27" s="1513" t="s">
        <v>166</v>
      </c>
      <c r="D27" s="1514"/>
      <c r="E27" s="1515"/>
      <c r="F27" s="1515"/>
      <c r="G27" s="1515"/>
      <c r="H27" s="1516"/>
      <c r="I27" s="1514"/>
      <c r="J27" s="1517"/>
      <c r="K27" s="1515"/>
      <c r="L27" s="1517"/>
      <c r="M27" s="1518"/>
      <c r="N27" s="3381" t="s">
        <v>124</v>
      </c>
      <c r="O27" s="1437"/>
    </row>
    <row r="28" spans="1:19" s="1450" customFormat="1" ht="12.75" customHeight="1" thickBot="1" x14ac:dyDescent="0.25">
      <c r="A28" s="3380"/>
      <c r="B28" s="846" t="s">
        <v>2</v>
      </c>
      <c r="C28" s="1520"/>
      <c r="D28" s="1521">
        <f t="shared" ref="D28" si="25">+D29+D32</f>
        <v>47780648.032499999</v>
      </c>
      <c r="E28" s="1522">
        <f>+E29+E32</f>
        <v>42545399.032499999</v>
      </c>
      <c r="F28" s="1522">
        <f>+F29+F32</f>
        <v>5235249</v>
      </c>
      <c r="G28" s="1523">
        <f>+G29+G32</f>
        <v>0</v>
      </c>
      <c r="H28" s="1524">
        <f>+H29+H32</f>
        <v>0</v>
      </c>
      <c r="I28" s="1521">
        <f>+I29+I32</f>
        <v>40022861.032499999</v>
      </c>
      <c r="J28" s="1525">
        <f t="shared" ref="J28:J36" si="26">+I28/D28*100</f>
        <v>83.763746789865181</v>
      </c>
      <c r="K28" s="1522">
        <f>+K29+K32</f>
        <v>0</v>
      </c>
      <c r="L28" s="1526" t="s">
        <v>335</v>
      </c>
      <c r="M28" s="1527">
        <f t="shared" ref="M28:M36" si="27">+K28-G28</f>
        <v>0</v>
      </c>
      <c r="N28" s="3381"/>
      <c r="O28" s="1437"/>
    </row>
    <row r="29" spans="1:19" s="1450" customFormat="1" ht="12.75" customHeight="1" thickBot="1" x14ac:dyDescent="0.25">
      <c r="A29" s="3380"/>
      <c r="B29" s="849" t="s">
        <v>17</v>
      </c>
      <c r="C29" s="3384" t="s">
        <v>125</v>
      </c>
      <c r="D29" s="1528">
        <f t="shared" ref="D29:H29" si="28">+D30+D31</f>
        <v>21515262.032499999</v>
      </c>
      <c r="E29" s="1529">
        <f t="shared" si="28"/>
        <v>18333309.032499999</v>
      </c>
      <c r="F29" s="1529">
        <f t="shared" si="28"/>
        <v>3181953</v>
      </c>
      <c r="G29" s="934">
        <f t="shared" ref="G29" si="29">+G30+G31</f>
        <v>0</v>
      </c>
      <c r="H29" s="282">
        <f t="shared" si="28"/>
        <v>0</v>
      </c>
      <c r="I29" s="1530">
        <f>SUM(I30:I31)</f>
        <v>16878621.032499999</v>
      </c>
      <c r="J29" s="1531">
        <f t="shared" si="26"/>
        <v>78.449525769213977</v>
      </c>
      <c r="K29" s="1529">
        <f>+K30+K31</f>
        <v>0</v>
      </c>
      <c r="L29" s="1532" t="s">
        <v>335</v>
      </c>
      <c r="M29" s="1533">
        <f t="shared" si="27"/>
        <v>0</v>
      </c>
      <c r="N29" s="3382"/>
      <c r="O29" s="1437"/>
    </row>
    <row r="30" spans="1:19" s="1450" customFormat="1" ht="12.75" customHeight="1" thickBot="1" x14ac:dyDescent="0.25">
      <c r="A30" s="3380"/>
      <c r="B30" s="1534" t="s">
        <v>126</v>
      </c>
      <c r="C30" s="3188"/>
      <c r="D30" s="1535">
        <f>+E30+F30+G30+H30</f>
        <v>8054143</v>
      </c>
      <c r="E30" s="1536">
        <f>1028059+100000+3639753+1953935</f>
        <v>6721747</v>
      </c>
      <c r="F30" s="1537">
        <v>1332396</v>
      </c>
      <c r="G30" s="1538">
        <v>0</v>
      </c>
      <c r="H30" s="1539">
        <v>0</v>
      </c>
      <c r="I30" s="1535">
        <v>3417502</v>
      </c>
      <c r="J30" s="1540">
        <f t="shared" si="26"/>
        <v>42.431603213402099</v>
      </c>
      <c r="K30" s="1536">
        <v>0</v>
      </c>
      <c r="L30" s="1541" t="s">
        <v>335</v>
      </c>
      <c r="M30" s="1537">
        <f t="shared" si="27"/>
        <v>0</v>
      </c>
      <c r="N30" s="3382"/>
      <c r="O30" s="1437"/>
    </row>
    <row r="31" spans="1:19" s="1450" customFormat="1" ht="12.75" customHeight="1" thickBot="1" x14ac:dyDescent="0.25">
      <c r="A31" s="3380"/>
      <c r="B31" s="1542" t="s">
        <v>5</v>
      </c>
      <c r="C31" s="3188"/>
      <c r="D31" s="1535">
        <f>+E31+F31+G31+H31</f>
        <v>13461119.032499999</v>
      </c>
      <c r="E31" s="1536">
        <f>675000.03+1795097.0025+3829540+5311925</f>
        <v>11611562.032499999</v>
      </c>
      <c r="F31" s="1536">
        <v>1849557</v>
      </c>
      <c r="G31" s="1543">
        <v>0</v>
      </c>
      <c r="H31" s="1539">
        <v>0</v>
      </c>
      <c r="I31" s="1535">
        <f>+K31+F31+E31</f>
        <v>13461119.032499999</v>
      </c>
      <c r="J31" s="1540">
        <f t="shared" si="26"/>
        <v>100</v>
      </c>
      <c r="K31" s="1536"/>
      <c r="L31" s="1541" t="s">
        <v>335</v>
      </c>
      <c r="M31" s="1537">
        <f t="shared" si="27"/>
        <v>0</v>
      </c>
      <c r="N31" s="3382"/>
      <c r="O31" s="1437"/>
    </row>
    <row r="32" spans="1:19" s="1450" customFormat="1" ht="12.75" customHeight="1" thickBot="1" x14ac:dyDescent="0.25">
      <c r="A32" s="3380"/>
      <c r="B32" s="852" t="s">
        <v>12</v>
      </c>
      <c r="C32" s="3188"/>
      <c r="D32" s="1544">
        <f t="shared" ref="D32:I32" si="30">+D33</f>
        <v>26265386</v>
      </c>
      <c r="E32" s="1545">
        <f t="shared" si="30"/>
        <v>24212090</v>
      </c>
      <c r="F32" s="1545">
        <f t="shared" si="30"/>
        <v>2053296</v>
      </c>
      <c r="G32" s="1546">
        <f t="shared" si="30"/>
        <v>0</v>
      </c>
      <c r="H32" s="1547">
        <f t="shared" si="30"/>
        <v>0</v>
      </c>
      <c r="I32" s="1544">
        <f t="shared" si="30"/>
        <v>23144240</v>
      </c>
      <c r="J32" s="1548">
        <f t="shared" si="26"/>
        <v>88.116885089752728</v>
      </c>
      <c r="K32" s="1545">
        <f>+K33</f>
        <v>0</v>
      </c>
      <c r="L32" s="1541" t="s">
        <v>335</v>
      </c>
      <c r="M32" s="1549">
        <f t="shared" si="27"/>
        <v>0</v>
      </c>
      <c r="N32" s="3382"/>
      <c r="O32" s="1437"/>
    </row>
    <row r="33" spans="1:17" s="1450" customFormat="1" ht="14.25" customHeight="1" thickBot="1" x14ac:dyDescent="0.25">
      <c r="A33" s="3351"/>
      <c r="B33" s="1550" t="s">
        <v>15</v>
      </c>
      <c r="C33" s="3188"/>
      <c r="D33" s="1535">
        <f>+E33+F33+G33+H33</f>
        <v>26265386</v>
      </c>
      <c r="E33" s="1536">
        <f>3928803+9582107+10701180</f>
        <v>24212090</v>
      </c>
      <c r="F33" s="1536">
        <v>2053296</v>
      </c>
      <c r="G33" s="1543">
        <v>0</v>
      </c>
      <c r="H33" s="1539">
        <v>0</v>
      </c>
      <c r="I33" s="1535">
        <v>23144240</v>
      </c>
      <c r="J33" s="1540">
        <f t="shared" si="26"/>
        <v>88.116885089752728</v>
      </c>
      <c r="K33" s="1536"/>
      <c r="L33" s="1541" t="s">
        <v>335</v>
      </c>
      <c r="M33" s="1537">
        <f t="shared" si="27"/>
        <v>0</v>
      </c>
      <c r="N33" s="3383"/>
      <c r="O33" s="1437"/>
    </row>
    <row r="34" spans="1:17" s="1450" customFormat="1" ht="16.5" customHeight="1" thickBot="1" x14ac:dyDescent="0.25">
      <c r="A34" s="3380"/>
      <c r="B34" s="1551" t="s">
        <v>16</v>
      </c>
      <c r="C34" s="1552"/>
      <c r="D34" s="1553">
        <f>+D35</f>
        <v>26265386</v>
      </c>
      <c r="E34" s="1554">
        <f>+E35</f>
        <v>24212090</v>
      </c>
      <c r="F34" s="1554">
        <f>F35</f>
        <v>2053296</v>
      </c>
      <c r="G34" s="1555">
        <f>G35</f>
        <v>0</v>
      </c>
      <c r="H34" s="1556">
        <f>H35</f>
        <v>0</v>
      </c>
      <c r="I34" s="1553">
        <f>I35</f>
        <v>23144240</v>
      </c>
      <c r="J34" s="1557">
        <f t="shared" si="26"/>
        <v>88.116885089752728</v>
      </c>
      <c r="K34" s="1554">
        <f>K36</f>
        <v>0</v>
      </c>
      <c r="L34" s="1526" t="s">
        <v>335</v>
      </c>
      <c r="M34" s="1558">
        <f t="shared" si="27"/>
        <v>0</v>
      </c>
      <c r="N34" s="3382"/>
      <c r="O34" s="1437"/>
    </row>
    <row r="35" spans="1:17" s="1450" customFormat="1" ht="14.25" customHeight="1" thickBot="1" x14ac:dyDescent="0.25">
      <c r="A35" s="3380"/>
      <c r="B35" s="852" t="s">
        <v>12</v>
      </c>
      <c r="C35" s="3188" t="s">
        <v>127</v>
      </c>
      <c r="D35" s="1544">
        <f>+D36</f>
        <v>26265386</v>
      </c>
      <c r="E35" s="1545">
        <f>+E36</f>
        <v>24212090</v>
      </c>
      <c r="F35" s="1545">
        <f>+F36</f>
        <v>2053296</v>
      </c>
      <c r="G35" s="1546">
        <f>+G36</f>
        <v>0</v>
      </c>
      <c r="H35" s="1547">
        <f>+H36</f>
        <v>0</v>
      </c>
      <c r="I35" s="1544">
        <f>+I36</f>
        <v>23144240</v>
      </c>
      <c r="J35" s="1548">
        <f t="shared" si="26"/>
        <v>88.116885089752728</v>
      </c>
      <c r="K35" s="1545">
        <f>+K36</f>
        <v>0</v>
      </c>
      <c r="L35" s="1532" t="s">
        <v>335</v>
      </c>
      <c r="M35" s="1549">
        <f t="shared" si="27"/>
        <v>0</v>
      </c>
      <c r="N35" s="3382"/>
      <c r="O35" s="1437"/>
    </row>
    <row r="36" spans="1:17" s="1450" customFormat="1" ht="13.5" customHeight="1" thickBot="1" x14ac:dyDescent="0.25">
      <c r="A36" s="3380"/>
      <c r="B36" s="828" t="s">
        <v>15</v>
      </c>
      <c r="C36" s="3189"/>
      <c r="D36" s="1559">
        <f>+E36+F36+G36+H36</f>
        <v>26265386</v>
      </c>
      <c r="E36" s="1560">
        <f>3928803+9582107+10701180</f>
        <v>24212090</v>
      </c>
      <c r="F36" s="1560">
        <v>2053296</v>
      </c>
      <c r="G36" s="1561">
        <v>0</v>
      </c>
      <c r="H36" s="1562">
        <v>0</v>
      </c>
      <c r="I36" s="1559">
        <v>23144240</v>
      </c>
      <c r="J36" s="1563">
        <f t="shared" si="26"/>
        <v>88.116885089752728</v>
      </c>
      <c r="K36" s="1560"/>
      <c r="L36" s="1564" t="s">
        <v>335</v>
      </c>
      <c r="M36" s="1565">
        <f t="shared" si="27"/>
        <v>0</v>
      </c>
      <c r="N36" s="3382"/>
      <c r="O36" s="1437"/>
    </row>
    <row r="37" spans="1:17" s="1450" customFormat="1" ht="66" customHeight="1" x14ac:dyDescent="0.2">
      <c r="A37" s="3351" t="s">
        <v>35</v>
      </c>
      <c r="B37" s="1566" t="s">
        <v>289</v>
      </c>
      <c r="C37" s="1567" t="s">
        <v>166</v>
      </c>
      <c r="D37" s="1568"/>
      <c r="E37" s="1569"/>
      <c r="F37" s="1569"/>
      <c r="G37" s="1569"/>
      <c r="H37" s="1570"/>
      <c r="I37" s="1571"/>
      <c r="J37" s="1572"/>
      <c r="K37" s="1573"/>
      <c r="L37" s="1572"/>
      <c r="M37" s="1574"/>
      <c r="N37" s="3385" t="s">
        <v>128</v>
      </c>
      <c r="O37" s="1437"/>
    </row>
    <row r="38" spans="1:17" s="1450" customFormat="1" x14ac:dyDescent="0.2">
      <c r="A38" s="3352"/>
      <c r="B38" s="846" t="s">
        <v>2</v>
      </c>
      <c r="C38" s="1575"/>
      <c r="D38" s="1521">
        <f t="shared" ref="D38:I38" si="31">+D39+D43</f>
        <v>95247151</v>
      </c>
      <c r="E38" s="1522">
        <f t="shared" si="31"/>
        <v>46147264</v>
      </c>
      <c r="F38" s="1522">
        <f t="shared" si="31"/>
        <v>29066477</v>
      </c>
      <c r="G38" s="1522">
        <f t="shared" si="31"/>
        <v>20033410</v>
      </c>
      <c r="H38" s="1524">
        <f t="shared" si="31"/>
        <v>0</v>
      </c>
      <c r="I38" s="1576">
        <f t="shared" si="31"/>
        <v>78323246</v>
      </c>
      <c r="J38" s="1577">
        <f t="shared" ref="J38:J49" si="32">+I38/D38*100</f>
        <v>82.231589268218642</v>
      </c>
      <c r="K38" s="1578">
        <f>+K39+K43</f>
        <v>3109505</v>
      </c>
      <c r="L38" s="1579">
        <f>L42</f>
        <v>0</v>
      </c>
      <c r="M38" s="1527">
        <f t="shared" ref="M38:M49" si="33">+K38-G38</f>
        <v>-16923905</v>
      </c>
      <c r="N38" s="3386"/>
      <c r="O38" s="1437"/>
      <c r="Q38" s="1449"/>
    </row>
    <row r="39" spans="1:17" s="1450" customFormat="1" ht="11.25" customHeight="1" x14ac:dyDescent="0.2">
      <c r="A39" s="3352"/>
      <c r="B39" s="849" t="s">
        <v>17</v>
      </c>
      <c r="C39" s="3389" t="s">
        <v>125</v>
      </c>
      <c r="D39" s="1530">
        <f>+D40+D41+D42</f>
        <v>56350541</v>
      </c>
      <c r="E39" s="1580">
        <f t="shared" ref="E39:H39" si="34">+E40+E41</f>
        <v>22369684</v>
      </c>
      <c r="F39" s="1580">
        <f>+F40+F41+F42</f>
        <v>29066477</v>
      </c>
      <c r="G39" s="1580">
        <f>+G40+G41+G42</f>
        <v>4914380</v>
      </c>
      <c r="H39" s="825">
        <f t="shared" si="34"/>
        <v>0</v>
      </c>
      <c r="I39" s="1581">
        <f>+I40+I41+I42</f>
        <v>54545666</v>
      </c>
      <c r="J39" s="1582">
        <f t="shared" si="32"/>
        <v>96.797058257169184</v>
      </c>
      <c r="K39" s="1583">
        <f>+K40+K41+K42</f>
        <v>3109505</v>
      </c>
      <c r="L39" s="1584">
        <v>0</v>
      </c>
      <c r="M39" s="1585">
        <f>+K39-G39</f>
        <v>-1804875</v>
      </c>
      <c r="N39" s="3387"/>
      <c r="O39" s="1437"/>
      <c r="Q39" s="1449"/>
    </row>
    <row r="40" spans="1:17" s="1450" customFormat="1" x14ac:dyDescent="0.2">
      <c r="A40" s="3352"/>
      <c r="B40" s="1534" t="s">
        <v>126</v>
      </c>
      <c r="C40" s="3390"/>
      <c r="D40" s="1535">
        <f>+E40+F40+G40+H40</f>
        <v>33588498</v>
      </c>
      <c r="E40" s="1536">
        <f>404973+229513+878679+4792150</f>
        <v>6305315</v>
      </c>
      <c r="F40" s="1536">
        <v>24268653</v>
      </c>
      <c r="G40" s="1586">
        <v>3014530</v>
      </c>
      <c r="H40" s="1539">
        <v>0</v>
      </c>
      <c r="I40" s="1587">
        <f>+K40+F40+E40</f>
        <v>32358751</v>
      </c>
      <c r="J40" s="1588">
        <f t="shared" si="32"/>
        <v>96.33878537825656</v>
      </c>
      <c r="K40" s="1589">
        <v>1784783</v>
      </c>
      <c r="L40" s="1590">
        <v>0</v>
      </c>
      <c r="M40" s="1537">
        <f t="shared" si="33"/>
        <v>-1229747</v>
      </c>
      <c r="N40" s="3387"/>
      <c r="O40" s="1437"/>
    </row>
    <row r="41" spans="1:17" s="1450" customFormat="1" ht="12" customHeight="1" x14ac:dyDescent="0.2">
      <c r="A41" s="3352"/>
      <c r="B41" s="1542" t="s">
        <v>5</v>
      </c>
      <c r="C41" s="3390"/>
      <c r="D41" s="1535">
        <f>+E41+F41+G41+H41</f>
        <v>16980000</v>
      </c>
      <c r="E41" s="1536">
        <f>2805880+4941171+6128477+2188841</f>
        <v>16064369</v>
      </c>
      <c r="F41" s="1536">
        <v>915631</v>
      </c>
      <c r="G41" s="1536">
        <v>0</v>
      </c>
      <c r="H41" s="1539">
        <v>0</v>
      </c>
      <c r="I41" s="1587">
        <f>+K41+F41+E41</f>
        <v>16980000</v>
      </c>
      <c r="J41" s="1588">
        <f t="shared" si="32"/>
        <v>100</v>
      </c>
      <c r="K41" s="1589">
        <v>0</v>
      </c>
      <c r="L41" s="1584">
        <v>0</v>
      </c>
      <c r="M41" s="1537">
        <f t="shared" si="33"/>
        <v>0</v>
      </c>
      <c r="N41" s="3387"/>
      <c r="O41" s="1437"/>
    </row>
    <row r="42" spans="1:17" s="1450" customFormat="1" ht="12" customHeight="1" x14ac:dyDescent="0.2">
      <c r="A42" s="3352"/>
      <c r="B42" s="793" t="s">
        <v>336</v>
      </c>
      <c r="C42" s="3390"/>
      <c r="D42" s="1535">
        <f>+E42+F42+G42</f>
        <v>5782043</v>
      </c>
      <c r="E42" s="1536">
        <v>0</v>
      </c>
      <c r="F42" s="1536">
        <v>3882193</v>
      </c>
      <c r="G42" s="1591">
        <v>1899850</v>
      </c>
      <c r="H42" s="1547">
        <f t="shared" ref="H42" si="35">+H43</f>
        <v>0</v>
      </c>
      <c r="I42" s="1587">
        <f>+K42+F42+E42</f>
        <v>5206915</v>
      </c>
      <c r="J42" s="1588"/>
      <c r="K42" s="1589">
        <v>1324722</v>
      </c>
      <c r="L42" s="1584">
        <v>0</v>
      </c>
      <c r="M42" s="1537">
        <f t="shared" si="33"/>
        <v>-575128</v>
      </c>
      <c r="N42" s="3387"/>
      <c r="O42" s="1437"/>
      <c r="Q42" s="1449"/>
    </row>
    <row r="43" spans="1:17" s="1450" customFormat="1" ht="12.75" customHeight="1" x14ac:dyDescent="0.2">
      <c r="A43" s="3352"/>
      <c r="B43" s="852" t="s">
        <v>12</v>
      </c>
      <c r="C43" s="3390"/>
      <c r="D43" s="1544">
        <f t="shared" ref="D43:I43" si="36">+D44</f>
        <v>38896610</v>
      </c>
      <c r="E43" s="1545">
        <f t="shared" si="36"/>
        <v>23777580</v>
      </c>
      <c r="F43" s="1545">
        <f t="shared" si="36"/>
        <v>0</v>
      </c>
      <c r="G43" s="1592">
        <f t="shared" si="36"/>
        <v>15119030</v>
      </c>
      <c r="H43" s="1547">
        <f t="shared" si="36"/>
        <v>0</v>
      </c>
      <c r="I43" s="1593">
        <f t="shared" si="36"/>
        <v>23777580</v>
      </c>
      <c r="J43" s="1594">
        <f t="shared" si="32"/>
        <v>61.130211604558859</v>
      </c>
      <c r="K43" s="1589">
        <v>0</v>
      </c>
      <c r="L43" s="1584">
        <v>0</v>
      </c>
      <c r="M43" s="1546">
        <f t="shared" si="33"/>
        <v>-15119030</v>
      </c>
      <c r="N43" s="3387"/>
      <c r="O43" s="1437"/>
      <c r="Q43" s="1449"/>
    </row>
    <row r="44" spans="1:17" s="1450" customFormat="1" ht="12" customHeight="1" x14ac:dyDescent="0.2">
      <c r="A44" s="3352"/>
      <c r="B44" s="1550" t="s">
        <v>15</v>
      </c>
      <c r="C44" s="3390"/>
      <c r="D44" s="1535">
        <f>+E44+F44+G44+H44</f>
        <v>38896610</v>
      </c>
      <c r="E44" s="1536">
        <f>15578755+8198825</f>
        <v>23777580</v>
      </c>
      <c r="F44" s="1536">
        <v>0</v>
      </c>
      <c r="G44" s="1586">
        <v>15119030</v>
      </c>
      <c r="H44" s="1595">
        <v>0</v>
      </c>
      <c r="I44" s="1587">
        <f>+F44+E44+K44</f>
        <v>23777580</v>
      </c>
      <c r="J44" s="1588">
        <f t="shared" si="32"/>
        <v>61.130211604558859</v>
      </c>
      <c r="K44" s="1589">
        <v>0</v>
      </c>
      <c r="L44" s="1596">
        <v>0</v>
      </c>
      <c r="M44" s="1538">
        <f t="shared" si="33"/>
        <v>-15119030</v>
      </c>
      <c r="N44" s="3387"/>
      <c r="O44" s="1437"/>
    </row>
    <row r="45" spans="1:17" s="1450" customFormat="1" ht="12.75" customHeight="1" x14ac:dyDescent="0.2">
      <c r="A45" s="3352"/>
      <c r="B45" s="846" t="s">
        <v>16</v>
      </c>
      <c r="C45" s="1575"/>
      <c r="D45" s="1521">
        <f>+D46+D48</f>
        <v>44678653</v>
      </c>
      <c r="E45" s="1522">
        <f>E48</f>
        <v>23777580</v>
      </c>
      <c r="F45" s="1522">
        <f>+F46+F48</f>
        <v>3882193</v>
      </c>
      <c r="G45" s="1597">
        <f>+G46+G48</f>
        <v>17018880</v>
      </c>
      <c r="H45" s="1524">
        <f t="shared" ref="H45:H47" si="37">+H46</f>
        <v>0</v>
      </c>
      <c r="I45" s="1576">
        <f>+I46+I48</f>
        <v>27659773</v>
      </c>
      <c r="J45" s="1577">
        <f t="shared" si="32"/>
        <v>61.908251799802471</v>
      </c>
      <c r="K45" s="1578">
        <f>+K46</f>
        <v>0</v>
      </c>
      <c r="L45" s="1579">
        <f>L49</f>
        <v>0</v>
      </c>
      <c r="M45" s="1527">
        <f t="shared" si="33"/>
        <v>-17018880</v>
      </c>
      <c r="N45" s="3387"/>
      <c r="O45" s="1437"/>
    </row>
    <row r="46" spans="1:17" s="1450" customFormat="1" ht="12.75" customHeight="1" x14ac:dyDescent="0.2">
      <c r="A46" s="3352"/>
      <c r="B46" s="786" t="s">
        <v>17</v>
      </c>
      <c r="C46" s="1598"/>
      <c r="D46" s="1599">
        <f>+D47</f>
        <v>5782043</v>
      </c>
      <c r="E46" s="1600">
        <f t="shared" ref="E46:F46" si="38">+E47</f>
        <v>0</v>
      </c>
      <c r="F46" s="1601">
        <f t="shared" si="38"/>
        <v>3882193</v>
      </c>
      <c r="G46" s="1602">
        <f t="shared" ref="G46" si="39">+G47</f>
        <v>1899850</v>
      </c>
      <c r="H46" s="1547">
        <f t="shared" si="37"/>
        <v>0</v>
      </c>
      <c r="I46" s="1603">
        <f>+I47</f>
        <v>3882193</v>
      </c>
      <c r="J46" s="1604"/>
      <c r="K46" s="1583">
        <f>+K47</f>
        <v>0</v>
      </c>
      <c r="L46" s="1584">
        <v>0</v>
      </c>
      <c r="M46" s="1583">
        <f>+M47</f>
        <v>-1899850</v>
      </c>
      <c r="N46" s="3387"/>
      <c r="O46" s="1437"/>
      <c r="Q46" s="1449"/>
    </row>
    <row r="47" spans="1:17" s="1450" customFormat="1" ht="12.75" customHeight="1" x14ac:dyDescent="0.2">
      <c r="A47" s="3352"/>
      <c r="B47" s="793" t="s">
        <v>336</v>
      </c>
      <c r="C47" s="1598"/>
      <c r="D47" s="1605">
        <f>+E47+F47+G47</f>
        <v>5782043</v>
      </c>
      <c r="E47" s="1600">
        <v>0</v>
      </c>
      <c r="F47" s="1606">
        <v>3882193</v>
      </c>
      <c r="G47" s="1591">
        <v>1899850</v>
      </c>
      <c r="H47" s="1547">
        <f t="shared" si="37"/>
        <v>0</v>
      </c>
      <c r="I47" s="1607">
        <f>+F47+E47+K47</f>
        <v>3882193</v>
      </c>
      <c r="J47" s="1604"/>
      <c r="K47" s="1589">
        <v>0</v>
      </c>
      <c r="L47" s="1584">
        <v>0</v>
      </c>
      <c r="M47" s="1537">
        <f t="shared" si="33"/>
        <v>-1899850</v>
      </c>
      <c r="N47" s="3387"/>
      <c r="O47" s="1437"/>
      <c r="Q47" s="1449"/>
    </row>
    <row r="48" spans="1:17" s="1450" customFormat="1" ht="13.5" customHeight="1" x14ac:dyDescent="0.2">
      <c r="A48" s="3352"/>
      <c r="B48" s="852" t="s">
        <v>12</v>
      </c>
      <c r="C48" s="3390" t="s">
        <v>127</v>
      </c>
      <c r="D48" s="1544">
        <f t="shared" ref="D48:I48" si="40">+D49</f>
        <v>38896610</v>
      </c>
      <c r="E48" s="1545">
        <f t="shared" si="40"/>
        <v>23777580</v>
      </c>
      <c r="F48" s="1545">
        <f t="shared" si="40"/>
        <v>0</v>
      </c>
      <c r="G48" s="1592">
        <f t="shared" si="40"/>
        <v>15119030</v>
      </c>
      <c r="H48" s="1608">
        <f t="shared" si="40"/>
        <v>0</v>
      </c>
      <c r="I48" s="1609">
        <f t="shared" si="40"/>
        <v>23777580</v>
      </c>
      <c r="J48" s="1610">
        <f t="shared" si="32"/>
        <v>61.130211604558859</v>
      </c>
      <c r="K48" s="1611">
        <f>+K49</f>
        <v>0</v>
      </c>
      <c r="L48" s="1584">
        <v>0</v>
      </c>
      <c r="M48" s="1546">
        <f t="shared" si="33"/>
        <v>-15119030</v>
      </c>
      <c r="N48" s="3387"/>
      <c r="O48" s="1437"/>
      <c r="Q48" s="1449"/>
    </row>
    <row r="49" spans="1:17" s="1450" customFormat="1" ht="13.5" thickBot="1" x14ac:dyDescent="0.25">
      <c r="A49" s="3353"/>
      <c r="B49" s="828" t="s">
        <v>15</v>
      </c>
      <c r="C49" s="3391"/>
      <c r="D49" s="1559">
        <f>+E49+F49+G49+H49</f>
        <v>38896610</v>
      </c>
      <c r="E49" s="1560">
        <f>15578755+8198825</f>
        <v>23777580</v>
      </c>
      <c r="F49" s="1560">
        <v>0</v>
      </c>
      <c r="G49" s="1560">
        <v>15119030</v>
      </c>
      <c r="H49" s="1612">
        <v>0</v>
      </c>
      <c r="I49" s="1613">
        <f>+F49+E49+K49</f>
        <v>23777580</v>
      </c>
      <c r="J49" s="1614">
        <f t="shared" si="32"/>
        <v>61.130211604558859</v>
      </c>
      <c r="K49" s="1615">
        <v>0</v>
      </c>
      <c r="L49" s="1616">
        <v>0</v>
      </c>
      <c r="M49" s="1617">
        <f t="shared" si="33"/>
        <v>-15119030</v>
      </c>
      <c r="N49" s="3388"/>
      <c r="O49" s="1437"/>
      <c r="Q49" s="1449"/>
    </row>
    <row r="50" spans="1:17" s="1450" customFormat="1" ht="41.25" customHeight="1" thickBot="1" x14ac:dyDescent="0.25">
      <c r="A50" s="3404" t="s">
        <v>40</v>
      </c>
      <c r="B50" s="1512" t="s">
        <v>325</v>
      </c>
      <c r="C50" s="1567" t="s">
        <v>166</v>
      </c>
      <c r="D50" s="1568"/>
      <c r="E50" s="1569"/>
      <c r="F50" s="1569"/>
      <c r="G50" s="1569"/>
      <c r="H50" s="1570"/>
      <c r="I50" s="1618"/>
      <c r="J50" s="1572"/>
      <c r="K50" s="1573"/>
      <c r="L50" s="1573"/>
      <c r="M50" s="1619"/>
      <c r="N50" s="3385" t="s">
        <v>130</v>
      </c>
      <c r="O50" s="1437"/>
    </row>
    <row r="51" spans="1:17" s="1450" customFormat="1" ht="13.5" customHeight="1" x14ac:dyDescent="0.2">
      <c r="A51" s="3405"/>
      <c r="B51" s="846" t="s">
        <v>2</v>
      </c>
      <c r="C51" s="1575"/>
      <c r="D51" s="1521">
        <f>+D52+D57</f>
        <v>87354947</v>
      </c>
      <c r="E51" s="1522">
        <f>+E52+E57</f>
        <v>25342462</v>
      </c>
      <c r="F51" s="1522">
        <f>+F52+F57</f>
        <v>1288210</v>
      </c>
      <c r="G51" s="1522">
        <f>+G52</f>
        <v>23434290</v>
      </c>
      <c r="H51" s="1620">
        <f>+H52</f>
        <v>37289984</v>
      </c>
      <c r="I51" s="1621">
        <f>+I52+I57</f>
        <v>26645066</v>
      </c>
      <c r="J51" s="1577">
        <f t="shared" ref="J51:J62" si="41">+I51/D51*100</f>
        <v>30.502068760914021</v>
      </c>
      <c r="K51" s="1578">
        <f>+K52+K57</f>
        <v>14394</v>
      </c>
      <c r="L51" s="1577">
        <f t="shared" ref="L51:L62" si="42">+K51/G51*100</f>
        <v>6.142281246839567E-2</v>
      </c>
      <c r="M51" s="1527">
        <f t="shared" ref="M51:M55" si="43">+K51-G51</f>
        <v>-23419896</v>
      </c>
      <c r="N51" s="3412"/>
      <c r="O51" s="1437"/>
    </row>
    <row r="52" spans="1:17" s="1450" customFormat="1" ht="13.5" customHeight="1" thickBot="1" x14ac:dyDescent="0.25">
      <c r="A52" s="3406"/>
      <c r="B52" s="849" t="s">
        <v>17</v>
      </c>
      <c r="C52" s="3416" t="s">
        <v>125</v>
      </c>
      <c r="D52" s="1528">
        <f>SUM(D53:D56)</f>
        <v>87354947</v>
      </c>
      <c r="E52" s="1529">
        <f>+E53+E54+E55+E56</f>
        <v>25342462</v>
      </c>
      <c r="F52" s="1529">
        <f t="shared" ref="F52:H52" si="44">+F53+F54+F55+F56</f>
        <v>1288210</v>
      </c>
      <c r="G52" s="1529">
        <f t="shared" si="44"/>
        <v>23434290</v>
      </c>
      <c r="H52" s="1529">
        <f t="shared" si="44"/>
        <v>37289984</v>
      </c>
      <c r="I52" s="1622">
        <f>+I53+I54+I55+I56</f>
        <v>26645066</v>
      </c>
      <c r="J52" s="1623">
        <f t="shared" si="41"/>
        <v>30.502068760914021</v>
      </c>
      <c r="K52" s="1624">
        <f>+K53</f>
        <v>14394</v>
      </c>
      <c r="L52" s="1623">
        <f t="shared" si="42"/>
        <v>6.142281246839567E-2</v>
      </c>
      <c r="M52" s="1533">
        <f t="shared" si="43"/>
        <v>-23419896</v>
      </c>
      <c r="N52" s="3413"/>
      <c r="O52" s="1437"/>
      <c r="Q52" s="1625"/>
    </row>
    <row r="53" spans="1:17" s="1450" customFormat="1" ht="13.5" customHeight="1" x14ac:dyDescent="0.2">
      <c r="A53" s="3407"/>
      <c r="B53" s="1626" t="s">
        <v>126</v>
      </c>
      <c r="C53" s="3417"/>
      <c r="D53" s="1535">
        <v>23237447</v>
      </c>
      <c r="E53" s="1627">
        <f>572500+2315000+7</f>
        <v>2887507</v>
      </c>
      <c r="F53" s="1536">
        <v>738004</v>
      </c>
      <c r="G53" s="1536">
        <v>3390509</v>
      </c>
      <c r="H53" s="1628">
        <f>8856012+7365414</f>
        <v>16221426</v>
      </c>
      <c r="I53" s="1629">
        <f>+K53+F53+E53</f>
        <v>3639905</v>
      </c>
      <c r="J53" s="1630">
        <f t="shared" si="41"/>
        <v>15.66396256869354</v>
      </c>
      <c r="K53" s="1631">
        <v>14394</v>
      </c>
      <c r="L53" s="1630">
        <f t="shared" si="42"/>
        <v>0.42453802659128759</v>
      </c>
      <c r="M53" s="1632">
        <f t="shared" si="43"/>
        <v>-3376115</v>
      </c>
      <c r="N53" s="3412"/>
      <c r="O53" s="1437"/>
      <c r="Q53" s="1449"/>
    </row>
    <row r="54" spans="1:17" s="1450" customFormat="1" ht="13.5" customHeight="1" x14ac:dyDescent="0.2">
      <c r="A54" s="3408"/>
      <c r="B54" s="1633" t="s">
        <v>129</v>
      </c>
      <c r="C54" s="3417"/>
      <c r="D54" s="1535">
        <v>23465500</v>
      </c>
      <c r="E54" s="1536">
        <f>572500+2460000+5302500</f>
        <v>8335000</v>
      </c>
      <c r="F54" s="1536">
        <v>27062</v>
      </c>
      <c r="G54" s="1536">
        <v>7224195</v>
      </c>
      <c r="H54" s="1628">
        <f>7686142+193101</f>
        <v>7879243</v>
      </c>
      <c r="I54" s="1629">
        <f>+K54+F54+E54</f>
        <v>8362062</v>
      </c>
      <c r="J54" s="1630">
        <f t="shared" si="41"/>
        <v>35.635558586009246</v>
      </c>
      <c r="K54" s="1634">
        <v>0</v>
      </c>
      <c r="L54" s="1630">
        <f t="shared" si="42"/>
        <v>0</v>
      </c>
      <c r="M54" s="1537">
        <f t="shared" si="43"/>
        <v>-7224195</v>
      </c>
      <c r="N54" s="3414"/>
      <c r="O54" s="1437"/>
    </row>
    <row r="55" spans="1:17" s="1450" customFormat="1" ht="13.5" customHeight="1" x14ac:dyDescent="0.2">
      <c r="A55" s="3409"/>
      <c r="B55" s="1633" t="s">
        <v>7</v>
      </c>
      <c r="C55" s="3417"/>
      <c r="D55" s="1535">
        <v>32452000</v>
      </c>
      <c r="E55" s="1536">
        <f>8065000+1854955</f>
        <v>9919955</v>
      </c>
      <c r="F55" s="1536">
        <v>0</v>
      </c>
      <c r="G55" s="1536">
        <v>9342730</v>
      </c>
      <c r="H55" s="1628">
        <f>7885599+5303716</f>
        <v>13189315</v>
      </c>
      <c r="I55" s="1629">
        <f>+K55+F55+E55</f>
        <v>9919955</v>
      </c>
      <c r="J55" s="1630">
        <f t="shared" si="41"/>
        <v>30.568085171946258</v>
      </c>
      <c r="K55" s="1634">
        <v>0</v>
      </c>
      <c r="L55" s="1635">
        <v>0</v>
      </c>
      <c r="M55" s="1537">
        <f t="shared" si="43"/>
        <v>-9342730</v>
      </c>
      <c r="N55" s="3414"/>
      <c r="O55" s="1437"/>
      <c r="Q55" s="1449"/>
    </row>
    <row r="56" spans="1:17" s="1450" customFormat="1" ht="24.75" customHeight="1" x14ac:dyDescent="0.2">
      <c r="A56" s="3410"/>
      <c r="B56" s="1633" t="s">
        <v>122</v>
      </c>
      <c r="C56" s="3417"/>
      <c r="D56" s="1636">
        <v>8200000</v>
      </c>
      <c r="E56" s="1637">
        <f>2145000+2055000</f>
        <v>4200000</v>
      </c>
      <c r="F56" s="1637">
        <v>523144</v>
      </c>
      <c r="G56" s="1637">
        <v>3476856</v>
      </c>
      <c r="H56" s="1638">
        <v>0</v>
      </c>
      <c r="I56" s="1639">
        <f>+K56+F56+E56</f>
        <v>4723144</v>
      </c>
      <c r="J56" s="1640">
        <f t="shared" si="41"/>
        <v>57.599317073170731</v>
      </c>
      <c r="K56" s="1641">
        <v>0</v>
      </c>
      <c r="L56" s="1640">
        <f t="shared" si="42"/>
        <v>0</v>
      </c>
      <c r="M56" s="1642">
        <f>+K56-G56</f>
        <v>-3476856</v>
      </c>
      <c r="N56" s="3414"/>
      <c r="O56" s="1437"/>
    </row>
    <row r="57" spans="1:17" s="1450" customFormat="1" ht="13.5" hidden="1" customHeight="1" x14ac:dyDescent="0.2">
      <c r="A57" s="3410"/>
      <c r="B57" s="852" t="s">
        <v>12</v>
      </c>
      <c r="C57" s="3417"/>
      <c r="D57" s="1636">
        <f t="shared" ref="D57:D58" si="45">+E57+F57+G57+H57</f>
        <v>0</v>
      </c>
      <c r="E57" s="1643">
        <f>+E58</f>
        <v>0</v>
      </c>
      <c r="F57" s="1643">
        <f>+F58</f>
        <v>0</v>
      </c>
      <c r="G57" s="1643"/>
      <c r="H57" s="1644"/>
      <c r="I57" s="1645"/>
      <c r="J57" s="1646">
        <v>0</v>
      </c>
      <c r="K57" s="1647"/>
      <c r="L57" s="1646">
        <v>0</v>
      </c>
      <c r="M57" s="1648">
        <f t="shared" ref="M57:M58" si="46">+K57-G57*0.25</f>
        <v>0</v>
      </c>
      <c r="N57" s="3414"/>
      <c r="O57" s="1437"/>
    </row>
    <row r="58" spans="1:17" s="1450" customFormat="1" ht="0.75" customHeight="1" x14ac:dyDescent="0.2">
      <c r="A58" s="3410"/>
      <c r="B58" s="1649" t="s">
        <v>15</v>
      </c>
      <c r="C58" s="3417"/>
      <c r="D58" s="1636">
        <f t="shared" si="45"/>
        <v>0</v>
      </c>
      <c r="E58" s="1627">
        <v>0</v>
      </c>
      <c r="F58" s="1627">
        <v>0</v>
      </c>
      <c r="G58" s="1627"/>
      <c r="H58" s="1650"/>
      <c r="I58" s="1629"/>
      <c r="J58" s="1630" t="e">
        <f t="shared" si="41"/>
        <v>#DIV/0!</v>
      </c>
      <c r="K58" s="1631"/>
      <c r="L58" s="1630" t="e">
        <f t="shared" si="42"/>
        <v>#DIV/0!</v>
      </c>
      <c r="M58" s="1632">
        <f t="shared" si="46"/>
        <v>0</v>
      </c>
      <c r="N58" s="3414"/>
      <c r="O58" s="1437"/>
    </row>
    <row r="59" spans="1:17" s="1450" customFormat="1" ht="13.5" customHeight="1" x14ac:dyDescent="0.2">
      <c r="A59" s="3410"/>
      <c r="B59" s="846" t="s">
        <v>16</v>
      </c>
      <c r="C59" s="1575"/>
      <c r="D59" s="1521">
        <f>+D60</f>
        <v>40652000</v>
      </c>
      <c r="E59" s="1522">
        <f>E60</f>
        <v>14119955</v>
      </c>
      <c r="F59" s="1522">
        <f>F60</f>
        <v>523144</v>
      </c>
      <c r="G59" s="1522">
        <f>G60</f>
        <v>12819586</v>
      </c>
      <c r="H59" s="1620">
        <f>H60</f>
        <v>13189315</v>
      </c>
      <c r="I59" s="1621">
        <f>+I60</f>
        <v>14643099</v>
      </c>
      <c r="J59" s="1577">
        <f t="shared" si="41"/>
        <v>36.020611532027949</v>
      </c>
      <c r="K59" s="1578">
        <f>K61+K62</f>
        <v>0</v>
      </c>
      <c r="L59" s="1577">
        <f t="shared" si="42"/>
        <v>0</v>
      </c>
      <c r="M59" s="1527">
        <f>+K59-G59</f>
        <v>-12819586</v>
      </c>
      <c r="N59" s="3414"/>
      <c r="O59" s="1437"/>
    </row>
    <row r="60" spans="1:17" s="1450" customFormat="1" ht="13.5" customHeight="1" x14ac:dyDescent="0.2">
      <c r="A60" s="3410"/>
      <c r="B60" s="849" t="s">
        <v>17</v>
      </c>
      <c r="C60" s="3418" t="s">
        <v>125</v>
      </c>
      <c r="D60" s="1544">
        <f>+D61+D62</f>
        <v>40652000</v>
      </c>
      <c r="E60" s="1545">
        <f t="shared" ref="E60:H60" si="47">+E61+E62</f>
        <v>14119955</v>
      </c>
      <c r="F60" s="1545">
        <f t="shared" si="47"/>
        <v>523144</v>
      </c>
      <c r="G60" s="1545">
        <f t="shared" si="47"/>
        <v>12819586</v>
      </c>
      <c r="H60" s="1651">
        <f t="shared" si="47"/>
        <v>13189315</v>
      </c>
      <c r="I60" s="1652">
        <f>SUM(I61:I62)</f>
        <v>14643099</v>
      </c>
      <c r="J60" s="1653">
        <f t="shared" si="41"/>
        <v>36.020611532027949</v>
      </c>
      <c r="K60" s="1583">
        <f>+K61+K62</f>
        <v>0</v>
      </c>
      <c r="L60" s="1653">
        <f t="shared" si="42"/>
        <v>0</v>
      </c>
      <c r="M60" s="1549">
        <f>+K60-G60</f>
        <v>-12819586</v>
      </c>
      <c r="N60" s="3414"/>
      <c r="O60" s="1437"/>
    </row>
    <row r="61" spans="1:17" s="1450" customFormat="1" ht="13.5" customHeight="1" x14ac:dyDescent="0.2">
      <c r="A61" s="3410"/>
      <c r="B61" s="1633" t="s">
        <v>7</v>
      </c>
      <c r="C61" s="3419"/>
      <c r="D61" s="1535">
        <v>32452000</v>
      </c>
      <c r="E61" s="1536">
        <f>8065000+1854955</f>
        <v>9919955</v>
      </c>
      <c r="F61" s="1536">
        <v>0</v>
      </c>
      <c r="G61" s="1536">
        <v>9342730</v>
      </c>
      <c r="H61" s="1628">
        <f>7885599+5303716</f>
        <v>13189315</v>
      </c>
      <c r="I61" s="1654">
        <f>+K61+F61+E61</f>
        <v>9919955</v>
      </c>
      <c r="J61" s="1653">
        <f t="shared" si="41"/>
        <v>30.568085171946258</v>
      </c>
      <c r="K61" s="1634">
        <v>0</v>
      </c>
      <c r="L61" s="1635">
        <v>0</v>
      </c>
      <c r="M61" s="1537">
        <f>+K61-G61</f>
        <v>-9342730</v>
      </c>
      <c r="N61" s="3414"/>
      <c r="O61" s="1437"/>
    </row>
    <row r="62" spans="1:17" s="1450" customFormat="1" ht="12.75" customHeight="1" thickBot="1" x14ac:dyDescent="0.25">
      <c r="A62" s="3411"/>
      <c r="B62" s="1655" t="s">
        <v>122</v>
      </c>
      <c r="C62" s="3420"/>
      <c r="D62" s="1656">
        <f>+E62+F62+G62+H62</f>
        <v>8200000</v>
      </c>
      <c r="E62" s="1657">
        <f>2145000+2055000</f>
        <v>4200000</v>
      </c>
      <c r="F62" s="1657">
        <v>523144</v>
      </c>
      <c r="G62" s="1560">
        <v>3476856</v>
      </c>
      <c r="H62" s="1658">
        <v>0</v>
      </c>
      <c r="I62" s="1659">
        <f>+K62+F62+E62</f>
        <v>4723144</v>
      </c>
      <c r="J62" s="1660">
        <f t="shared" si="41"/>
        <v>57.599317073170731</v>
      </c>
      <c r="K62" s="1661">
        <v>0</v>
      </c>
      <c r="L62" s="1660">
        <f t="shared" si="42"/>
        <v>0</v>
      </c>
      <c r="M62" s="1565">
        <f>+K62-G62</f>
        <v>-3476856</v>
      </c>
      <c r="N62" s="3415"/>
      <c r="O62" s="1437"/>
    </row>
    <row r="63" spans="1:17" s="24" customFormat="1" ht="52.5" customHeight="1" x14ac:dyDescent="0.2">
      <c r="A63" s="3394" t="s">
        <v>41</v>
      </c>
      <c r="B63" s="1662" t="s">
        <v>286</v>
      </c>
      <c r="C63" s="1663" t="s">
        <v>171</v>
      </c>
      <c r="D63" s="1664"/>
      <c r="E63" s="1665"/>
      <c r="F63" s="1666"/>
      <c r="G63" s="1666"/>
      <c r="H63" s="1667"/>
      <c r="I63" s="1668"/>
      <c r="J63" s="1669"/>
      <c r="K63" s="1666"/>
      <c r="L63" s="1670"/>
      <c r="M63" s="1671"/>
      <c r="N63" s="1672"/>
      <c r="O63" s="1437"/>
    </row>
    <row r="64" spans="1:17" s="24" customFormat="1" ht="18" customHeight="1" x14ac:dyDescent="0.2">
      <c r="A64" s="3350"/>
      <c r="B64" s="1328" t="s">
        <v>2</v>
      </c>
      <c r="C64" s="1673"/>
      <c r="D64" s="1674">
        <f t="shared" ref="D64:I64" si="48">D65</f>
        <v>11000000</v>
      </c>
      <c r="E64" s="1675">
        <f t="shared" si="48"/>
        <v>4284000</v>
      </c>
      <c r="F64" s="1675">
        <f t="shared" si="48"/>
        <v>1033284</v>
      </c>
      <c r="G64" s="1675">
        <f>G65</f>
        <v>2788944</v>
      </c>
      <c r="H64" s="1676">
        <f t="shared" si="48"/>
        <v>2893772</v>
      </c>
      <c r="I64" s="1677">
        <f t="shared" si="48"/>
        <v>5317284</v>
      </c>
      <c r="J64" s="1577">
        <f t="shared" ref="J64:J67" si="49">+I64/D64*100</f>
        <v>48.33894545454546</v>
      </c>
      <c r="K64" s="1675">
        <f>+K65</f>
        <v>1033284</v>
      </c>
      <c r="L64" s="1678">
        <f t="shared" ref="L64:L67" si="50">+K64/G64*100</f>
        <v>37.049291774951385</v>
      </c>
      <c r="M64" s="1679">
        <f>+K64-G64</f>
        <v>-1755660</v>
      </c>
      <c r="N64" s="3158" t="s">
        <v>218</v>
      </c>
      <c r="O64" s="1437"/>
    </row>
    <row r="65" spans="1:17" s="24" customFormat="1" ht="12.75" customHeight="1" x14ac:dyDescent="0.2">
      <c r="A65" s="3350"/>
      <c r="B65" s="1680" t="s">
        <v>17</v>
      </c>
      <c r="C65" s="3396" t="s">
        <v>135</v>
      </c>
      <c r="D65" s="1681">
        <f>+D66+D67</f>
        <v>11000000</v>
      </c>
      <c r="E65" s="1682">
        <f>+E66+E67</f>
        <v>4284000</v>
      </c>
      <c r="F65" s="1682">
        <f t="shared" ref="F65:H65" si="51">+F66+F67</f>
        <v>1033284</v>
      </c>
      <c r="G65" s="1682">
        <f>+G66+G67</f>
        <v>2788944</v>
      </c>
      <c r="H65" s="1683">
        <f t="shared" si="51"/>
        <v>2893772</v>
      </c>
      <c r="I65" s="1684">
        <f>+I66</f>
        <v>5317284</v>
      </c>
      <c r="J65" s="1653">
        <f t="shared" si="49"/>
        <v>48.33894545454546</v>
      </c>
      <c r="K65" s="1682">
        <f>+K66+K67</f>
        <v>1033284</v>
      </c>
      <c r="L65" s="1685">
        <f>+K65/G65*100</f>
        <v>37.049291774951385</v>
      </c>
      <c r="M65" s="1549">
        <f>+K65-G65</f>
        <v>-1755660</v>
      </c>
      <c r="N65" s="3158"/>
      <c r="O65" s="1437"/>
    </row>
    <row r="66" spans="1:17" s="24" customFormat="1" ht="12.75" customHeight="1" thickBot="1" x14ac:dyDescent="0.25">
      <c r="A66" s="3350"/>
      <c r="B66" s="1686" t="s">
        <v>126</v>
      </c>
      <c r="C66" s="3397"/>
      <c r="D66" s="1687">
        <f>+E66+F66</f>
        <v>4284000</v>
      </c>
      <c r="E66" s="1631">
        <f>2448000+612000+612000+612000</f>
        <v>4284000</v>
      </c>
      <c r="F66" s="1631">
        <v>0</v>
      </c>
      <c r="G66" s="1631">
        <v>0</v>
      </c>
      <c r="H66" s="1688">
        <v>0</v>
      </c>
      <c r="I66" s="1689">
        <f>+E66+K66</f>
        <v>5317284</v>
      </c>
      <c r="J66" s="1653">
        <v>0</v>
      </c>
      <c r="K66" s="1631">
        <v>1033284</v>
      </c>
      <c r="L66" s="1685">
        <v>0</v>
      </c>
      <c r="M66" s="1537">
        <f>+K66-G66</f>
        <v>1033284</v>
      </c>
      <c r="N66" s="3159"/>
      <c r="O66" s="1437"/>
    </row>
    <row r="67" spans="1:17" s="24" customFormat="1" ht="12.75" customHeight="1" thickBot="1" x14ac:dyDescent="0.25">
      <c r="A67" s="3395"/>
      <c r="B67" s="1690" t="s">
        <v>4</v>
      </c>
      <c r="C67" s="3398"/>
      <c r="D67" s="1691">
        <f>+E67+F67+G67+H67</f>
        <v>6716000</v>
      </c>
      <c r="E67" s="1692">
        <v>0</v>
      </c>
      <c r="F67" s="1692">
        <v>1033284</v>
      </c>
      <c r="G67" s="1692">
        <v>2788944</v>
      </c>
      <c r="H67" s="1693">
        <f>1684944+1208828</f>
        <v>2893772</v>
      </c>
      <c r="I67" s="1691">
        <f>+E67+F67+K67-1033284</f>
        <v>0</v>
      </c>
      <c r="J67" s="1660">
        <f t="shared" si="49"/>
        <v>0</v>
      </c>
      <c r="K67" s="1692">
        <v>0</v>
      </c>
      <c r="L67" s="1694">
        <f t="shared" si="50"/>
        <v>0</v>
      </c>
      <c r="M67" s="1565">
        <f>+K67-G67</f>
        <v>-2788944</v>
      </c>
      <c r="N67" s="3159"/>
      <c r="O67" s="1437"/>
    </row>
    <row r="68" spans="1:17" s="24" customFormat="1" ht="29.25" customHeight="1" x14ac:dyDescent="0.2">
      <c r="A68" s="3394">
        <v>5</v>
      </c>
      <c r="B68" s="1662" t="s">
        <v>285</v>
      </c>
      <c r="C68" s="1663" t="s">
        <v>171</v>
      </c>
      <c r="D68" s="1664"/>
      <c r="E68" s="1665"/>
      <c r="F68" s="1666"/>
      <c r="G68" s="1666"/>
      <c r="H68" s="1667"/>
      <c r="I68" s="1668"/>
      <c r="J68" s="1669"/>
      <c r="K68" s="1666"/>
      <c r="L68" s="1670"/>
      <c r="M68" s="1671"/>
      <c r="N68" s="1672"/>
      <c r="O68" s="1437"/>
    </row>
    <row r="69" spans="1:17" s="24" customFormat="1" ht="15.75" customHeight="1" x14ac:dyDescent="0.2">
      <c r="A69" s="3350"/>
      <c r="B69" s="1328" t="s">
        <v>2</v>
      </c>
      <c r="C69" s="1673"/>
      <c r="D69" s="1674">
        <f t="shared" ref="D69:K69" si="52">D70</f>
        <v>2900000</v>
      </c>
      <c r="E69" s="1675">
        <f t="shared" si="52"/>
        <v>1555500</v>
      </c>
      <c r="F69" s="1675">
        <f t="shared" si="52"/>
        <v>306000</v>
      </c>
      <c r="G69" s="1695">
        <f t="shared" si="52"/>
        <v>306000</v>
      </c>
      <c r="H69" s="1676">
        <f t="shared" si="52"/>
        <v>732500</v>
      </c>
      <c r="I69" s="1696">
        <f t="shared" si="52"/>
        <v>1861500</v>
      </c>
      <c r="J69" s="1577">
        <f t="shared" ref="J69:J72" si="53">+I69/D69*100</f>
        <v>64.189655172413794</v>
      </c>
      <c r="K69" s="1695">
        <f t="shared" si="52"/>
        <v>306000</v>
      </c>
      <c r="L69" s="1577">
        <f t="shared" ref="L69:L72" si="54">+K69/G69*100</f>
        <v>100</v>
      </c>
      <c r="M69" s="1679">
        <f>+M70</f>
        <v>0</v>
      </c>
      <c r="N69" s="3158" t="s">
        <v>218</v>
      </c>
      <c r="O69" s="1437"/>
      <c r="Q69" s="218"/>
    </row>
    <row r="70" spans="1:17" s="24" customFormat="1" ht="12.75" customHeight="1" x14ac:dyDescent="0.2">
      <c r="A70" s="3350"/>
      <c r="B70" s="1680" t="s">
        <v>17</v>
      </c>
      <c r="C70" s="3396" t="s">
        <v>135</v>
      </c>
      <c r="D70" s="1681">
        <f>+D71+D72</f>
        <v>2900000</v>
      </c>
      <c r="E70" s="1682">
        <f>+E71+E72</f>
        <v>1555500</v>
      </c>
      <c r="F70" s="1682">
        <f t="shared" ref="F70:H70" si="55">+F71+F72</f>
        <v>306000</v>
      </c>
      <c r="G70" s="1682">
        <f t="shared" si="55"/>
        <v>306000</v>
      </c>
      <c r="H70" s="1683">
        <f t="shared" si="55"/>
        <v>732500</v>
      </c>
      <c r="I70" s="1684">
        <f>+I71+I72</f>
        <v>1861500</v>
      </c>
      <c r="J70" s="1653">
        <f t="shared" si="53"/>
        <v>64.189655172413794</v>
      </c>
      <c r="K70" s="1682">
        <f>+K71+K72</f>
        <v>306000</v>
      </c>
      <c r="L70" s="1653">
        <f t="shared" si="54"/>
        <v>100</v>
      </c>
      <c r="M70" s="1549">
        <f>+M71+M72</f>
        <v>0</v>
      </c>
      <c r="N70" s="3158"/>
      <c r="O70" s="1437"/>
    </row>
    <row r="71" spans="1:17" s="24" customFormat="1" ht="14.25" customHeight="1" x14ac:dyDescent="0.2">
      <c r="A71" s="3350"/>
      <c r="B71" s="1686" t="s">
        <v>126</v>
      </c>
      <c r="C71" s="3399"/>
      <c r="D71" s="1697">
        <f>+E71+F71</f>
        <v>1555500</v>
      </c>
      <c r="E71" s="1631">
        <f>637500+306000+306000+306000</f>
        <v>1555500</v>
      </c>
      <c r="F71" s="1631">
        <v>0</v>
      </c>
      <c r="G71" s="1631"/>
      <c r="H71" s="1688"/>
      <c r="I71" s="1687">
        <f>+E71+K71</f>
        <v>1861500</v>
      </c>
      <c r="J71" s="1653">
        <v>0</v>
      </c>
      <c r="K71" s="1631">
        <v>306000</v>
      </c>
      <c r="L71" s="1653">
        <v>0</v>
      </c>
      <c r="M71" s="1549">
        <f>+K71-G71</f>
        <v>306000</v>
      </c>
      <c r="N71" s="3158"/>
      <c r="O71" s="1437"/>
    </row>
    <row r="72" spans="1:17" s="24" customFormat="1" ht="14.25" customHeight="1" thickBot="1" x14ac:dyDescent="0.25">
      <c r="A72" s="3395"/>
      <c r="B72" s="1690" t="s">
        <v>4</v>
      </c>
      <c r="C72" s="3400"/>
      <c r="D72" s="1698">
        <f>+E72+F72+G72+H72</f>
        <v>1344500</v>
      </c>
      <c r="E72" s="1692">
        <v>0</v>
      </c>
      <c r="F72" s="1692">
        <v>306000</v>
      </c>
      <c r="G72" s="1692">
        <v>306000</v>
      </c>
      <c r="H72" s="1693">
        <f>306000+306000+120500</f>
        <v>732500</v>
      </c>
      <c r="I72" s="1691">
        <f>+E72+F72+K72-306000</f>
        <v>0</v>
      </c>
      <c r="J72" s="1660">
        <f t="shared" si="53"/>
        <v>0</v>
      </c>
      <c r="K72" s="1692">
        <v>0</v>
      </c>
      <c r="L72" s="1660">
        <f t="shared" si="54"/>
        <v>0</v>
      </c>
      <c r="M72" s="1565">
        <f>+K72-G72</f>
        <v>-306000</v>
      </c>
      <c r="N72" s="3159"/>
      <c r="O72" s="1437"/>
    </row>
    <row r="73" spans="1:17" s="24" customFormat="1" ht="27" customHeight="1" x14ac:dyDescent="0.2">
      <c r="A73" s="3350" t="s">
        <v>44</v>
      </c>
      <c r="B73" s="1699" t="s">
        <v>284</v>
      </c>
      <c r="C73" s="1700" t="s">
        <v>171</v>
      </c>
      <c r="D73" s="1701"/>
      <c r="E73" s="1702"/>
      <c r="F73" s="1703"/>
      <c r="G73" s="1703"/>
      <c r="H73" s="1704"/>
      <c r="I73" s="1701"/>
      <c r="J73" s="1705"/>
      <c r="K73" s="1703"/>
      <c r="L73" s="1706"/>
      <c r="M73" s="1707"/>
      <c r="N73" s="1708"/>
      <c r="O73" s="1437"/>
    </row>
    <row r="74" spans="1:17" s="24" customFormat="1" ht="15" customHeight="1" thickBot="1" x14ac:dyDescent="0.25">
      <c r="A74" s="3350"/>
      <c r="B74" s="1328" t="s">
        <v>2</v>
      </c>
      <c r="C74" s="1709"/>
      <c r="D74" s="1677">
        <f t="shared" ref="D74:I74" si="56">D75</f>
        <v>8000000</v>
      </c>
      <c r="E74" s="1710">
        <f>+E75</f>
        <v>0</v>
      </c>
      <c r="F74" s="1710">
        <f t="shared" si="56"/>
        <v>0</v>
      </c>
      <c r="G74" s="1710">
        <f t="shared" si="56"/>
        <v>480000</v>
      </c>
      <c r="H74" s="1676">
        <f t="shared" si="56"/>
        <v>7520000</v>
      </c>
      <c r="I74" s="1711">
        <f t="shared" si="56"/>
        <v>0</v>
      </c>
      <c r="J74" s="1577">
        <f t="shared" ref="J74:J76" si="57">+I74/D74*100</f>
        <v>0</v>
      </c>
      <c r="K74" s="1712">
        <f>+K75</f>
        <v>0</v>
      </c>
      <c r="L74" s="1577">
        <v>0</v>
      </c>
      <c r="M74" s="1713">
        <f>+K74-G74*0.5</f>
        <v>-240000</v>
      </c>
      <c r="N74" s="3159" t="s">
        <v>218</v>
      </c>
      <c r="O74" s="1437"/>
    </row>
    <row r="75" spans="1:17" s="24" customFormat="1" ht="14.25" customHeight="1" x14ac:dyDescent="0.2">
      <c r="A75" s="3350"/>
      <c r="B75" s="1207" t="s">
        <v>17</v>
      </c>
      <c r="C75" s="3402" t="s">
        <v>135</v>
      </c>
      <c r="D75" s="1714">
        <f t="shared" ref="D75:I75" si="58">+D76</f>
        <v>8000000</v>
      </c>
      <c r="E75" s="1715">
        <f t="shared" si="58"/>
        <v>0</v>
      </c>
      <c r="F75" s="1715">
        <f t="shared" si="58"/>
        <v>0</v>
      </c>
      <c r="G75" s="1715">
        <f t="shared" si="58"/>
        <v>480000</v>
      </c>
      <c r="H75" s="1683">
        <f t="shared" si="58"/>
        <v>7520000</v>
      </c>
      <c r="I75" s="1716">
        <f t="shared" si="58"/>
        <v>0</v>
      </c>
      <c r="J75" s="1653">
        <f t="shared" si="57"/>
        <v>0</v>
      </c>
      <c r="K75" s="1717">
        <f>+K76</f>
        <v>0</v>
      </c>
      <c r="L75" s="1653">
        <v>0</v>
      </c>
      <c r="M75" s="1718">
        <f>+K75-G75*0.5</f>
        <v>-240000</v>
      </c>
      <c r="N75" s="3401"/>
      <c r="O75" s="1437"/>
    </row>
    <row r="76" spans="1:17" s="24" customFormat="1" ht="14.25" customHeight="1" thickBot="1" x14ac:dyDescent="0.25">
      <c r="A76" s="3350"/>
      <c r="B76" s="1719" t="s">
        <v>4</v>
      </c>
      <c r="C76" s="3403"/>
      <c r="D76" s="1698">
        <v>8000000</v>
      </c>
      <c r="E76" s="1692">
        <v>0</v>
      </c>
      <c r="F76" s="1692">
        <v>0</v>
      </c>
      <c r="G76" s="1692">
        <v>480000</v>
      </c>
      <c r="H76" s="1693">
        <f>480000+960000+960000+960000+960000+3680000-480000</f>
        <v>7520000</v>
      </c>
      <c r="I76" s="1720">
        <f>+E76+F76+K76</f>
        <v>0</v>
      </c>
      <c r="J76" s="1653">
        <f t="shared" si="57"/>
        <v>0</v>
      </c>
      <c r="K76" s="1721">
        <v>0</v>
      </c>
      <c r="L76" s="1653">
        <v>0</v>
      </c>
      <c r="M76" s="1722">
        <f>+K76-G76*0.5</f>
        <v>-240000</v>
      </c>
      <c r="N76" s="3159"/>
      <c r="O76" s="1437"/>
    </row>
    <row r="77" spans="1:17" s="1450" customFormat="1" ht="18.75" customHeight="1" x14ac:dyDescent="0.2">
      <c r="A77" s="3392" t="s">
        <v>378</v>
      </c>
      <c r="B77" s="3393"/>
      <c r="C77" s="3392"/>
      <c r="D77" s="3392"/>
      <c r="E77" s="3392"/>
      <c r="F77" s="3392"/>
      <c r="G77" s="3392"/>
      <c r="H77" s="3392"/>
      <c r="I77" s="3392"/>
      <c r="J77" s="3392"/>
      <c r="K77" s="3392"/>
      <c r="L77" s="3392"/>
      <c r="M77" s="3392"/>
      <c r="N77" s="1723"/>
      <c r="O77" s="1437"/>
    </row>
    <row r="78" spans="1:17" s="1728" customFormat="1" ht="13.5" customHeight="1" x14ac:dyDescent="0.2">
      <c r="A78" s="1724" t="s">
        <v>379</v>
      </c>
      <c r="B78" s="1725"/>
      <c r="C78" s="1726"/>
      <c r="D78" s="1427"/>
      <c r="E78" s="1427"/>
      <c r="F78" s="1427"/>
      <c r="G78" s="1427"/>
      <c r="H78" s="1427"/>
      <c r="I78" s="1427"/>
      <c r="J78" s="1427"/>
      <c r="K78" s="1427"/>
      <c r="L78" s="1427"/>
      <c r="M78" s="1427"/>
      <c r="N78" s="1727"/>
    </row>
    <row r="79" spans="1:17" s="1730" customFormat="1" ht="13.5" customHeight="1" x14ac:dyDescent="0.2">
      <c r="A79" s="1729"/>
      <c r="D79" s="1427"/>
      <c r="E79" s="1427"/>
      <c r="F79" s="1427"/>
      <c r="G79" s="1427"/>
      <c r="H79" s="1427"/>
      <c r="I79" s="1427"/>
      <c r="J79" s="1427"/>
      <c r="K79" s="1427"/>
      <c r="L79" s="1427"/>
      <c r="M79" s="1427"/>
      <c r="N79" s="1727"/>
    </row>
    <row r="80" spans="1:17" s="1731" customFormat="1" ht="12.75" customHeight="1" x14ac:dyDescent="0.2">
      <c r="C80" s="1730"/>
      <c r="D80" s="1427"/>
      <c r="E80" s="1427"/>
      <c r="F80" s="1427"/>
      <c r="G80" s="1427"/>
      <c r="H80" s="1427"/>
      <c r="I80" s="1427"/>
      <c r="J80" s="1427"/>
      <c r="K80" s="1427"/>
      <c r="L80" s="1427"/>
      <c r="M80" s="1427"/>
      <c r="N80" s="1727"/>
    </row>
    <row r="81" spans="1:14" s="1450" customFormat="1" ht="10.5" customHeight="1" x14ac:dyDescent="0.2">
      <c r="A81" s="1424"/>
      <c r="B81" s="1427"/>
      <c r="C81" s="1430"/>
      <c r="D81" s="1427"/>
      <c r="E81" s="1427"/>
      <c r="F81" s="1427"/>
      <c r="G81" s="1427"/>
      <c r="H81" s="1427"/>
      <c r="I81" s="1427"/>
      <c r="J81" s="1427"/>
      <c r="K81" s="1427"/>
      <c r="L81" s="1427"/>
      <c r="M81" s="1427"/>
      <c r="N81" s="1727"/>
    </row>
    <row r="82" spans="1:14" s="1730" customFormat="1" ht="15.75" customHeight="1" x14ac:dyDescent="0.2">
      <c r="B82" s="1427"/>
      <c r="C82" s="1430"/>
      <c r="D82" s="1427"/>
      <c r="E82" s="1427"/>
      <c r="F82" s="1427"/>
      <c r="G82" s="1427"/>
      <c r="H82" s="1427"/>
      <c r="I82" s="1427"/>
      <c r="J82" s="1427"/>
      <c r="K82" s="1427"/>
      <c r="L82" s="1427"/>
      <c r="M82" s="1427"/>
      <c r="N82" s="1727"/>
    </row>
    <row r="83" spans="1:14" s="1730" customFormat="1" ht="15.75" customHeight="1" x14ac:dyDescent="0.2">
      <c r="A83" s="1424"/>
      <c r="B83" s="1427"/>
      <c r="C83" s="1430"/>
      <c r="D83" s="1427"/>
      <c r="E83" s="1427"/>
      <c r="F83" s="1427"/>
      <c r="G83" s="1427"/>
      <c r="H83" s="1427"/>
      <c r="I83" s="1427"/>
      <c r="J83" s="1427"/>
      <c r="K83" s="1427"/>
      <c r="L83" s="1427"/>
      <c r="M83" s="1427"/>
      <c r="N83" s="1727"/>
    </row>
    <row r="84" spans="1:14" s="1730" customFormat="1" ht="15.75" customHeight="1" x14ac:dyDescent="0.2">
      <c r="A84" s="1424"/>
      <c r="B84" s="1427"/>
      <c r="C84" s="1430"/>
      <c r="D84" s="1427"/>
      <c r="E84" s="1427"/>
      <c r="F84" s="1427"/>
      <c r="G84" s="1427"/>
      <c r="H84" s="1427"/>
      <c r="I84" s="1427"/>
      <c r="J84" s="1427"/>
      <c r="K84" s="1427"/>
      <c r="L84" s="1427"/>
      <c r="M84" s="1427"/>
      <c r="N84" s="1727"/>
    </row>
    <row r="85" spans="1:14" s="1730" customFormat="1" ht="12" customHeight="1" x14ac:dyDescent="0.2">
      <c r="A85" s="1424"/>
      <c r="B85" s="1427"/>
      <c r="C85" s="1430"/>
      <c r="D85" s="1427"/>
      <c r="E85" s="1427"/>
      <c r="F85" s="1427"/>
      <c r="G85" s="1427"/>
      <c r="H85" s="1427"/>
      <c r="I85" s="1427"/>
      <c r="J85" s="1427"/>
      <c r="K85" s="1427"/>
      <c r="L85" s="1427"/>
      <c r="M85" s="1427"/>
      <c r="N85" s="1727"/>
    </row>
    <row r="86" spans="1:14" s="1726" customFormat="1" ht="22.5" customHeight="1" x14ac:dyDescent="0.2">
      <c r="A86" s="1424"/>
      <c r="B86" s="1427"/>
      <c r="C86" s="1430"/>
      <c r="D86" s="1427"/>
      <c r="E86" s="1427"/>
      <c r="F86" s="1427"/>
      <c r="G86" s="1427"/>
      <c r="H86" s="1427"/>
      <c r="I86" s="1427"/>
      <c r="J86" s="1427"/>
      <c r="K86" s="1427"/>
      <c r="L86" s="1427"/>
      <c r="M86" s="1427"/>
      <c r="N86" s="1727"/>
    </row>
    <row r="87" spans="1:14" s="1450" customFormat="1" ht="12.75" customHeight="1" x14ac:dyDescent="0.2">
      <c r="A87" s="1424"/>
      <c r="B87" s="1427"/>
      <c r="C87" s="1430"/>
      <c r="D87" s="1427"/>
      <c r="E87" s="1427"/>
      <c r="F87" s="1427"/>
      <c r="G87" s="1427"/>
      <c r="H87" s="1427"/>
      <c r="I87" s="1427"/>
      <c r="J87" s="1427"/>
      <c r="K87" s="1427"/>
      <c r="L87" s="1427"/>
      <c r="M87" s="1427"/>
      <c r="N87" s="1727"/>
    </row>
    <row r="88" spans="1:14" s="1450" customFormat="1" ht="12.75" customHeight="1" x14ac:dyDescent="0.2">
      <c r="A88" s="1424"/>
      <c r="B88" s="1427"/>
      <c r="C88" s="1430"/>
      <c r="D88" s="1427"/>
      <c r="E88" s="1427"/>
      <c r="F88" s="1427"/>
      <c r="G88" s="1427"/>
      <c r="H88" s="1427"/>
      <c r="I88" s="1427"/>
      <c r="J88" s="1427"/>
      <c r="K88" s="1427"/>
      <c r="L88" s="1427"/>
      <c r="M88" s="1427"/>
      <c r="N88" s="1727"/>
    </row>
    <row r="89" spans="1:14" s="1450" customFormat="1" x14ac:dyDescent="0.2">
      <c r="A89" s="1424"/>
      <c r="B89" s="1427"/>
      <c r="C89" s="1430"/>
      <c r="D89" s="1427"/>
      <c r="E89" s="1427"/>
      <c r="F89" s="1427"/>
      <c r="G89" s="1427"/>
      <c r="H89" s="1427"/>
      <c r="I89" s="1427"/>
      <c r="J89" s="1427"/>
      <c r="K89" s="1427"/>
      <c r="L89" s="1427"/>
      <c r="M89" s="1427"/>
      <c r="N89" s="1727"/>
    </row>
    <row r="90" spans="1:14" s="1726" customFormat="1" ht="14.25" customHeight="1" x14ac:dyDescent="0.2">
      <c r="A90" s="1424"/>
      <c r="B90" s="1427"/>
      <c r="C90" s="1430"/>
      <c r="D90" s="1427"/>
      <c r="E90" s="1427"/>
      <c r="F90" s="1427"/>
      <c r="G90" s="1427"/>
      <c r="H90" s="1427"/>
      <c r="I90" s="1427"/>
      <c r="J90" s="1427"/>
      <c r="K90" s="1427"/>
      <c r="L90" s="1427"/>
      <c r="M90" s="1427"/>
      <c r="N90" s="1727"/>
    </row>
    <row r="91" spans="1:14" s="1450" customFormat="1" ht="12.75" customHeight="1" x14ac:dyDescent="0.2">
      <c r="A91" s="1424"/>
      <c r="B91" s="1427"/>
      <c r="C91" s="1430"/>
      <c r="D91" s="1427"/>
      <c r="E91" s="1427"/>
      <c r="F91" s="1427"/>
      <c r="G91" s="1427"/>
      <c r="H91" s="1427"/>
      <c r="I91" s="1427"/>
      <c r="J91" s="1427"/>
      <c r="K91" s="1427"/>
      <c r="L91" s="1427"/>
      <c r="M91" s="1427"/>
      <c r="N91" s="1727"/>
    </row>
    <row r="92" spans="1:14" s="1450" customFormat="1" ht="12.75" customHeight="1" x14ac:dyDescent="0.2">
      <c r="A92" s="1424"/>
      <c r="B92" s="1427"/>
      <c r="C92" s="1430"/>
      <c r="D92" s="1427"/>
      <c r="E92" s="1427"/>
      <c r="F92" s="1427"/>
      <c r="G92" s="1427"/>
      <c r="H92" s="1427"/>
      <c r="I92" s="1427"/>
      <c r="J92" s="1427"/>
      <c r="K92" s="1427"/>
      <c r="L92" s="1427"/>
      <c r="M92" s="1427"/>
      <c r="N92" s="1727"/>
    </row>
    <row r="93" spans="1:14" s="1450" customFormat="1" x14ac:dyDescent="0.2">
      <c r="A93" s="1424"/>
      <c r="B93" s="1427"/>
      <c r="C93" s="1430"/>
      <c r="D93" s="1427"/>
      <c r="E93" s="1427"/>
      <c r="F93" s="1427"/>
      <c r="G93" s="1427"/>
      <c r="H93" s="1427"/>
      <c r="I93" s="1427"/>
      <c r="J93" s="1427"/>
      <c r="K93" s="1427"/>
      <c r="L93" s="1427"/>
      <c r="M93" s="1427"/>
      <c r="N93" s="1727"/>
    </row>
    <row r="94" spans="1:14" s="1450" customFormat="1" x14ac:dyDescent="0.2">
      <c r="A94" s="1424"/>
      <c r="B94" s="1427"/>
      <c r="C94" s="1430"/>
      <c r="D94" s="1427"/>
      <c r="E94" s="1427"/>
      <c r="F94" s="1427"/>
      <c r="G94" s="1427"/>
      <c r="H94" s="1427"/>
      <c r="I94" s="1427"/>
      <c r="J94" s="1427"/>
      <c r="K94" s="1427"/>
      <c r="L94" s="1427"/>
      <c r="M94" s="1427"/>
      <c r="N94" s="1727"/>
    </row>
    <row r="95" spans="1:14" s="1726" customFormat="1" ht="33.75" customHeight="1" x14ac:dyDescent="0.2">
      <c r="A95" s="1424"/>
      <c r="B95" s="1427"/>
      <c r="C95" s="1430"/>
      <c r="D95" s="1427"/>
      <c r="E95" s="1427"/>
      <c r="F95" s="1427"/>
      <c r="G95" s="1427"/>
      <c r="H95" s="1427"/>
      <c r="I95" s="1427"/>
      <c r="J95" s="1427"/>
      <c r="K95" s="1427"/>
      <c r="L95" s="1427"/>
      <c r="M95" s="1427"/>
      <c r="N95" s="1727"/>
    </row>
    <row r="96" spans="1:14" s="1450" customFormat="1" ht="12.75" customHeight="1" x14ac:dyDescent="0.2">
      <c r="A96" s="1424"/>
      <c r="B96" s="1427"/>
      <c r="C96" s="1430"/>
      <c r="D96" s="1427"/>
      <c r="E96" s="1427"/>
      <c r="F96" s="1427"/>
      <c r="G96" s="1427"/>
      <c r="H96" s="1427"/>
      <c r="I96" s="1427"/>
      <c r="J96" s="1427"/>
      <c r="K96" s="1427"/>
      <c r="L96" s="1427"/>
      <c r="M96" s="1427"/>
      <c r="N96" s="1727"/>
    </row>
    <row r="97" spans="1:14" s="1450" customFormat="1" ht="12.75" customHeight="1" x14ac:dyDescent="0.2">
      <c r="A97" s="1424"/>
      <c r="B97" s="1427"/>
      <c r="C97" s="1430"/>
      <c r="D97" s="1427"/>
      <c r="E97" s="1427"/>
      <c r="F97" s="1427"/>
      <c r="G97" s="1427"/>
      <c r="H97" s="1427"/>
      <c r="I97" s="1427"/>
      <c r="J97" s="1427"/>
      <c r="K97" s="1427"/>
      <c r="L97" s="1427"/>
      <c r="M97" s="1427"/>
      <c r="N97" s="1727"/>
    </row>
    <row r="98" spans="1:14" s="1450" customFormat="1" ht="12.75" customHeight="1" x14ac:dyDescent="0.2">
      <c r="A98" s="1424"/>
      <c r="B98" s="1427"/>
      <c r="C98" s="1430"/>
      <c r="D98" s="1427"/>
      <c r="E98" s="1427"/>
      <c r="F98" s="1427"/>
      <c r="G98" s="1427"/>
      <c r="H98" s="1427"/>
      <c r="I98" s="1427"/>
      <c r="J98" s="1427"/>
      <c r="K98" s="1427"/>
      <c r="L98" s="1427"/>
      <c r="M98" s="1427"/>
      <c r="N98" s="1727"/>
    </row>
    <row r="99" spans="1:14" s="1450" customFormat="1" ht="12.75" customHeight="1" x14ac:dyDescent="0.2">
      <c r="A99" s="1424"/>
      <c r="B99" s="1427"/>
      <c r="C99" s="1430"/>
      <c r="D99" s="1427"/>
      <c r="E99" s="1427"/>
      <c r="F99" s="1427"/>
      <c r="G99" s="1427"/>
      <c r="H99" s="1427"/>
      <c r="I99" s="1427"/>
      <c r="J99" s="1427"/>
      <c r="K99" s="1427"/>
      <c r="L99" s="1427"/>
      <c r="M99" s="1427"/>
      <c r="N99" s="1727"/>
    </row>
    <row r="100" spans="1:14" s="1450" customFormat="1" x14ac:dyDescent="0.2">
      <c r="A100" s="1424"/>
      <c r="B100" s="1427"/>
      <c r="C100" s="1430"/>
      <c r="D100" s="1427"/>
      <c r="E100" s="1427"/>
      <c r="F100" s="1427"/>
      <c r="G100" s="1427"/>
      <c r="H100" s="1427"/>
      <c r="I100" s="1427"/>
      <c r="J100" s="1427"/>
      <c r="K100" s="1427"/>
      <c r="L100" s="1427"/>
      <c r="M100" s="1427"/>
      <c r="N100" s="1727"/>
    </row>
    <row r="101" spans="1:14" s="1726" customFormat="1" ht="12" customHeight="1" x14ac:dyDescent="0.2">
      <c r="A101" s="1424"/>
      <c r="B101" s="1427"/>
      <c r="C101" s="1430"/>
      <c r="D101" s="1427"/>
      <c r="E101" s="1427"/>
      <c r="F101" s="1427"/>
      <c r="G101" s="1427"/>
      <c r="H101" s="1427"/>
      <c r="I101" s="1427"/>
      <c r="J101" s="1427"/>
      <c r="K101" s="1427"/>
      <c r="L101" s="1427"/>
      <c r="M101" s="1427"/>
      <c r="N101" s="1727"/>
    </row>
    <row r="102" spans="1:14" s="1450" customFormat="1" ht="12.75" customHeight="1" x14ac:dyDescent="0.2">
      <c r="A102" s="1424"/>
      <c r="B102" s="1427"/>
      <c r="C102" s="1430"/>
      <c r="D102" s="1427"/>
      <c r="E102" s="1427"/>
      <c r="F102" s="1427"/>
      <c r="G102" s="1427"/>
      <c r="H102" s="1427"/>
      <c r="I102" s="1427"/>
      <c r="J102" s="1427"/>
      <c r="K102" s="1427"/>
      <c r="L102" s="1427"/>
      <c r="M102" s="1427"/>
      <c r="N102" s="1727"/>
    </row>
    <row r="103" spans="1:14" s="1450" customFormat="1" ht="12.75" customHeight="1" x14ac:dyDescent="0.2">
      <c r="A103" s="1424"/>
      <c r="B103" s="1427"/>
      <c r="C103" s="1430"/>
      <c r="D103" s="1427"/>
      <c r="E103" s="1427"/>
      <c r="F103" s="1427"/>
      <c r="G103" s="1427"/>
      <c r="H103" s="1427"/>
      <c r="I103" s="1427"/>
      <c r="J103" s="1427"/>
      <c r="K103" s="1427"/>
      <c r="L103" s="1427"/>
      <c r="M103" s="1427"/>
      <c r="N103" s="1727"/>
    </row>
    <row r="104" spans="1:14" s="1450" customFormat="1" x14ac:dyDescent="0.2">
      <c r="A104" s="1424"/>
      <c r="B104" s="1427"/>
      <c r="C104" s="1430"/>
      <c r="D104" s="1427"/>
      <c r="E104" s="1427"/>
      <c r="F104" s="1427"/>
      <c r="G104" s="1427"/>
      <c r="H104" s="1427"/>
      <c r="I104" s="1427"/>
      <c r="J104" s="1427"/>
      <c r="K104" s="1427"/>
      <c r="L104" s="1427"/>
      <c r="M104" s="1427"/>
      <c r="N104" s="1727"/>
    </row>
    <row r="105" spans="1:14" s="1450" customFormat="1" x14ac:dyDescent="0.2">
      <c r="A105" s="1424"/>
      <c r="B105" s="1427"/>
      <c r="C105" s="1430"/>
      <c r="D105" s="1427"/>
      <c r="E105" s="1427"/>
      <c r="F105" s="1427"/>
      <c r="G105" s="1427"/>
      <c r="H105" s="1427"/>
      <c r="I105" s="1427"/>
      <c r="J105" s="1427"/>
      <c r="K105" s="1427"/>
      <c r="L105" s="1427"/>
      <c r="M105" s="1427"/>
      <c r="N105" s="1727"/>
    </row>
    <row r="106" spans="1:14" s="1726" customFormat="1" ht="22.5" customHeight="1" x14ac:dyDescent="0.2">
      <c r="A106" s="1424"/>
      <c r="B106" s="1427"/>
      <c r="C106" s="1430"/>
      <c r="D106" s="1427"/>
      <c r="E106" s="1427"/>
      <c r="F106" s="1427"/>
      <c r="G106" s="1427"/>
      <c r="H106" s="1427"/>
      <c r="I106" s="1427"/>
      <c r="J106" s="1427"/>
      <c r="K106" s="1427"/>
      <c r="L106" s="1427"/>
      <c r="M106" s="1427"/>
      <c r="N106" s="1727"/>
    </row>
    <row r="107" spans="1:14" s="1450" customFormat="1" ht="12.75" customHeight="1" x14ac:dyDescent="0.2">
      <c r="A107" s="1424"/>
      <c r="B107" s="1427"/>
      <c r="C107" s="1430"/>
      <c r="D107" s="1427"/>
      <c r="E107" s="1427"/>
      <c r="F107" s="1427"/>
      <c r="G107" s="1427"/>
      <c r="H107" s="1427"/>
      <c r="I107" s="1427"/>
      <c r="J107" s="1427"/>
      <c r="K107" s="1427"/>
      <c r="L107" s="1427"/>
      <c r="M107" s="1427"/>
      <c r="N107" s="1727"/>
    </row>
    <row r="108" spans="1:14" s="1450" customFormat="1" ht="12.75" customHeight="1" x14ac:dyDescent="0.2">
      <c r="A108" s="1424"/>
      <c r="B108" s="1427"/>
      <c r="C108" s="1430"/>
      <c r="D108" s="1427"/>
      <c r="E108" s="1427"/>
      <c r="F108" s="1427"/>
      <c r="G108" s="1427"/>
      <c r="H108" s="1427"/>
      <c r="I108" s="1427"/>
      <c r="J108" s="1427"/>
      <c r="K108" s="1427"/>
      <c r="L108" s="1427"/>
      <c r="M108" s="1427"/>
      <c r="N108" s="1727"/>
    </row>
    <row r="109" spans="1:14" s="1450" customFormat="1" x14ac:dyDescent="0.2">
      <c r="A109" s="1424"/>
      <c r="B109" s="1427"/>
      <c r="C109" s="1430"/>
      <c r="D109" s="1427"/>
      <c r="E109" s="1427"/>
      <c r="F109" s="1427"/>
      <c r="G109" s="1427"/>
      <c r="H109" s="1427"/>
      <c r="I109" s="1427"/>
      <c r="J109" s="1427"/>
      <c r="K109" s="1427"/>
      <c r="L109" s="1427"/>
      <c r="M109" s="1427"/>
      <c r="N109" s="1727"/>
    </row>
    <row r="110" spans="1:14" s="1450" customFormat="1" x14ac:dyDescent="0.2">
      <c r="A110" s="1424"/>
      <c r="B110" s="1427"/>
      <c r="C110" s="1430"/>
      <c r="D110" s="1427"/>
      <c r="E110" s="1427"/>
      <c r="F110" s="1427"/>
      <c r="G110" s="1427"/>
      <c r="H110" s="1427"/>
      <c r="I110" s="1427"/>
      <c r="J110" s="1427"/>
      <c r="K110" s="1427"/>
      <c r="L110" s="1427"/>
      <c r="M110" s="1427"/>
      <c r="N110" s="1727"/>
    </row>
    <row r="111" spans="1:14" s="1726" customFormat="1" ht="15" customHeight="1" x14ac:dyDescent="0.2">
      <c r="A111" s="1424"/>
      <c r="B111" s="1427"/>
      <c r="C111" s="1430"/>
      <c r="D111" s="1427"/>
      <c r="E111" s="1427"/>
      <c r="F111" s="1427"/>
      <c r="G111" s="1427"/>
      <c r="H111" s="1427"/>
      <c r="I111" s="1427"/>
      <c r="J111" s="1427"/>
      <c r="K111" s="1427"/>
      <c r="L111" s="1427"/>
      <c r="M111" s="1427"/>
      <c r="N111" s="1727"/>
    </row>
    <row r="112" spans="1:14" s="1450" customFormat="1" ht="12.75" customHeight="1" x14ac:dyDescent="0.2">
      <c r="A112" s="1424"/>
      <c r="B112" s="1427"/>
      <c r="C112" s="1430"/>
      <c r="D112" s="1427"/>
      <c r="E112" s="1427"/>
      <c r="F112" s="1427"/>
      <c r="G112" s="1427"/>
      <c r="H112" s="1427"/>
      <c r="I112" s="1427"/>
      <c r="J112" s="1427"/>
      <c r="K112" s="1427"/>
      <c r="L112" s="1427"/>
      <c r="M112" s="1427"/>
      <c r="N112" s="1727"/>
    </row>
    <row r="113" spans="1:14" s="1450" customFormat="1" ht="12.75" customHeight="1" x14ac:dyDescent="0.2">
      <c r="A113" s="1424"/>
      <c r="B113" s="1427"/>
      <c r="C113" s="1430"/>
      <c r="D113" s="1427"/>
      <c r="E113" s="1427"/>
      <c r="F113" s="1427"/>
      <c r="G113" s="1427"/>
      <c r="H113" s="1427"/>
      <c r="I113" s="1427"/>
      <c r="J113" s="1427"/>
      <c r="K113" s="1427"/>
      <c r="L113" s="1427"/>
      <c r="M113" s="1427"/>
      <c r="N113" s="1727"/>
    </row>
    <row r="114" spans="1:14" s="1450" customFormat="1" x14ac:dyDescent="0.2">
      <c r="A114" s="1424"/>
      <c r="B114" s="1427"/>
      <c r="C114" s="1430"/>
      <c r="D114" s="1427"/>
      <c r="E114" s="1427"/>
      <c r="F114" s="1427"/>
      <c r="G114" s="1427"/>
      <c r="H114" s="1427"/>
      <c r="I114" s="1427"/>
      <c r="J114" s="1427"/>
      <c r="K114" s="1427"/>
      <c r="L114" s="1427"/>
      <c r="M114" s="1427"/>
      <c r="N114" s="1727"/>
    </row>
    <row r="115" spans="1:14" s="1450" customFormat="1" x14ac:dyDescent="0.2">
      <c r="A115" s="1424"/>
      <c r="B115" s="1427"/>
      <c r="C115" s="1430"/>
      <c r="D115" s="1427"/>
      <c r="E115" s="1427"/>
      <c r="F115" s="1427"/>
      <c r="G115" s="1427"/>
      <c r="H115" s="1427"/>
      <c r="I115" s="1427"/>
      <c r="J115" s="1427"/>
      <c r="K115" s="1427"/>
      <c r="L115" s="1427"/>
      <c r="M115" s="1427"/>
      <c r="N115" s="1727"/>
    </row>
    <row r="116" spans="1:14" s="1726" customFormat="1" ht="13.5" customHeight="1" x14ac:dyDescent="0.2">
      <c r="A116" s="1424"/>
      <c r="B116" s="1427"/>
      <c r="C116" s="1430"/>
      <c r="D116" s="1427"/>
      <c r="E116" s="1427"/>
      <c r="F116" s="1427"/>
      <c r="G116" s="1427"/>
      <c r="H116" s="1427"/>
      <c r="I116" s="1427"/>
      <c r="J116" s="1427"/>
      <c r="K116" s="1427"/>
      <c r="L116" s="1427"/>
      <c r="M116" s="1427"/>
      <c r="N116" s="1727"/>
    </row>
    <row r="117" spans="1:14" s="1450" customFormat="1" ht="12.75" customHeight="1" x14ac:dyDescent="0.2">
      <c r="A117" s="1424"/>
      <c r="B117" s="1427"/>
      <c r="C117" s="1430"/>
      <c r="D117" s="1427"/>
      <c r="E117" s="1427"/>
      <c r="F117" s="1427"/>
      <c r="G117" s="1427"/>
      <c r="H117" s="1427"/>
      <c r="I117" s="1427"/>
      <c r="J117" s="1427"/>
      <c r="K117" s="1427"/>
      <c r="L117" s="1427"/>
      <c r="M117" s="1427"/>
      <c r="N117" s="1727"/>
    </row>
    <row r="118" spans="1:14" s="1450" customFormat="1" ht="12.75" customHeight="1" x14ac:dyDescent="0.2">
      <c r="A118" s="1424"/>
      <c r="B118" s="1427"/>
      <c r="C118" s="1430"/>
      <c r="D118" s="1427"/>
      <c r="E118" s="1427"/>
      <c r="F118" s="1427"/>
      <c r="G118" s="1427"/>
      <c r="H118" s="1427"/>
      <c r="I118" s="1427"/>
      <c r="J118" s="1427"/>
      <c r="K118" s="1427"/>
      <c r="L118" s="1427"/>
      <c r="M118" s="1427"/>
      <c r="N118" s="1727"/>
    </row>
    <row r="119" spans="1:14" s="1450" customFormat="1" x14ac:dyDescent="0.2">
      <c r="A119" s="1424"/>
      <c r="B119" s="1427"/>
      <c r="C119" s="1430"/>
      <c r="D119" s="1427"/>
      <c r="E119" s="1427"/>
      <c r="F119" s="1427"/>
      <c r="G119" s="1427"/>
      <c r="H119" s="1427"/>
      <c r="I119" s="1427"/>
      <c r="J119" s="1427"/>
      <c r="K119" s="1427"/>
      <c r="L119" s="1427"/>
      <c r="M119" s="1427"/>
      <c r="N119" s="1727"/>
    </row>
    <row r="120" spans="1:14" s="1450" customFormat="1" x14ac:dyDescent="0.2">
      <c r="A120" s="1424"/>
      <c r="B120" s="1427"/>
      <c r="C120" s="1430"/>
      <c r="D120" s="1427"/>
      <c r="E120" s="1427"/>
      <c r="F120" s="1427"/>
      <c r="G120" s="1427"/>
      <c r="H120" s="1427"/>
      <c r="I120" s="1427"/>
      <c r="J120" s="1427"/>
      <c r="K120" s="1427"/>
      <c r="L120" s="1427"/>
      <c r="M120" s="1427"/>
      <c r="N120" s="1727"/>
    </row>
    <row r="121" spans="1:14" s="1450" customFormat="1" x14ac:dyDescent="0.2">
      <c r="A121" s="1424"/>
      <c r="B121" s="1427"/>
      <c r="C121" s="1430"/>
      <c r="D121" s="1427"/>
      <c r="E121" s="1427"/>
      <c r="F121" s="1427"/>
      <c r="G121" s="1427"/>
      <c r="H121" s="1427"/>
      <c r="I121" s="1427"/>
      <c r="J121" s="1427"/>
      <c r="K121" s="1427"/>
      <c r="L121" s="1427"/>
      <c r="M121" s="1427"/>
      <c r="N121" s="1727"/>
    </row>
    <row r="122" spans="1:14" s="1726" customFormat="1" ht="22.5" customHeight="1" x14ac:dyDescent="0.2">
      <c r="A122" s="1424"/>
      <c r="B122" s="1427"/>
      <c r="C122" s="1430"/>
      <c r="D122" s="1427"/>
      <c r="E122" s="1427"/>
      <c r="F122" s="1427"/>
      <c r="G122" s="1427"/>
      <c r="H122" s="1427"/>
      <c r="I122" s="1427"/>
      <c r="J122" s="1427"/>
      <c r="K122" s="1427"/>
      <c r="L122" s="1427"/>
      <c r="M122" s="1427"/>
      <c r="N122" s="1727"/>
    </row>
    <row r="123" spans="1:14" s="1450" customFormat="1" ht="12.75" customHeight="1" x14ac:dyDescent="0.2">
      <c r="A123" s="1424"/>
      <c r="B123" s="1427"/>
      <c r="C123" s="1430"/>
      <c r="D123" s="1427"/>
      <c r="E123" s="1427"/>
      <c r="F123" s="1427"/>
      <c r="G123" s="1427"/>
      <c r="H123" s="1427"/>
      <c r="I123" s="1427"/>
      <c r="J123" s="1427"/>
      <c r="K123" s="1427"/>
      <c r="L123" s="1427"/>
      <c r="M123" s="1427"/>
      <c r="N123" s="1727"/>
    </row>
    <row r="124" spans="1:14" s="1450" customFormat="1" ht="12.75" customHeight="1" x14ac:dyDescent="0.2">
      <c r="A124" s="1424"/>
      <c r="B124" s="1427"/>
      <c r="C124" s="1430"/>
      <c r="D124" s="1427"/>
      <c r="E124" s="1427"/>
      <c r="F124" s="1427"/>
      <c r="G124" s="1427"/>
      <c r="H124" s="1427"/>
      <c r="I124" s="1427"/>
      <c r="J124" s="1427"/>
      <c r="K124" s="1427"/>
      <c r="L124" s="1427"/>
      <c r="M124" s="1427"/>
      <c r="N124" s="1727"/>
    </row>
    <row r="125" spans="1:14" s="1450" customFormat="1" x14ac:dyDescent="0.2">
      <c r="A125" s="1424"/>
      <c r="B125" s="1427"/>
      <c r="C125" s="1430"/>
      <c r="D125" s="1427"/>
      <c r="E125" s="1427"/>
      <c r="F125" s="1427"/>
      <c r="G125" s="1427"/>
      <c r="H125" s="1427"/>
      <c r="I125" s="1427"/>
      <c r="J125" s="1427"/>
      <c r="K125" s="1427"/>
      <c r="L125" s="1427"/>
      <c r="M125" s="1427"/>
      <c r="N125" s="1727"/>
    </row>
    <row r="126" spans="1:14" s="1450" customFormat="1" x14ac:dyDescent="0.2">
      <c r="A126" s="1424"/>
      <c r="B126" s="1427"/>
      <c r="C126" s="1430"/>
      <c r="D126" s="1427"/>
      <c r="E126" s="1427"/>
      <c r="F126" s="1427"/>
      <c r="G126" s="1427"/>
      <c r="H126" s="1427"/>
      <c r="I126" s="1427"/>
      <c r="J126" s="1427"/>
      <c r="K126" s="1427"/>
      <c r="L126" s="1427"/>
      <c r="M126" s="1427"/>
      <c r="N126" s="1727"/>
    </row>
    <row r="127" spans="1:14" s="1726" customFormat="1" ht="12.75" customHeight="1" x14ac:dyDescent="0.2">
      <c r="A127" s="1424"/>
      <c r="B127" s="1427"/>
      <c r="C127" s="1430"/>
      <c r="D127" s="1427"/>
      <c r="E127" s="1427"/>
      <c r="F127" s="1427"/>
      <c r="G127" s="1427"/>
      <c r="H127" s="1427"/>
      <c r="I127" s="1427"/>
      <c r="J127" s="1427"/>
      <c r="K127" s="1427"/>
      <c r="L127" s="1427"/>
      <c r="M127" s="1427"/>
      <c r="N127" s="1727"/>
    </row>
    <row r="128" spans="1:14" s="1450" customFormat="1" ht="9.75" customHeight="1" x14ac:dyDescent="0.2">
      <c r="A128" s="1424"/>
      <c r="B128" s="1427"/>
      <c r="C128" s="1430"/>
      <c r="D128" s="1427"/>
      <c r="E128" s="1427"/>
      <c r="F128" s="1427"/>
      <c r="G128" s="1427"/>
      <c r="H128" s="1427"/>
      <c r="I128" s="1427"/>
      <c r="J128" s="1427"/>
      <c r="K128" s="1427"/>
      <c r="L128" s="1427"/>
      <c r="M128" s="1427"/>
      <c r="N128" s="1727"/>
    </row>
    <row r="129" spans="1:14" s="1450" customFormat="1" ht="12.75" customHeight="1" x14ac:dyDescent="0.2">
      <c r="A129" s="1424"/>
      <c r="B129" s="1427"/>
      <c r="C129" s="1430"/>
      <c r="D129" s="1427"/>
      <c r="E129" s="1427"/>
      <c r="F129" s="1427"/>
      <c r="G129" s="1427"/>
      <c r="H129" s="1427"/>
      <c r="I129" s="1427"/>
      <c r="J129" s="1427"/>
      <c r="K129" s="1427"/>
      <c r="L129" s="1427"/>
      <c r="M129" s="1427"/>
      <c r="N129" s="1727"/>
    </row>
    <row r="130" spans="1:14" s="1450" customFormat="1" x14ac:dyDescent="0.2">
      <c r="A130" s="1424"/>
      <c r="B130" s="1427"/>
      <c r="C130" s="1430"/>
      <c r="D130" s="1427"/>
      <c r="E130" s="1427"/>
      <c r="F130" s="1427"/>
      <c r="G130" s="1427"/>
      <c r="H130" s="1427"/>
      <c r="I130" s="1427"/>
      <c r="J130" s="1427"/>
      <c r="K130" s="1427"/>
      <c r="L130" s="1427"/>
      <c r="M130" s="1427"/>
      <c r="N130" s="1727"/>
    </row>
    <row r="131" spans="1:14" s="1450" customFormat="1" x14ac:dyDescent="0.2">
      <c r="A131" s="1424"/>
      <c r="B131" s="1427"/>
      <c r="C131" s="1430"/>
      <c r="D131" s="1427"/>
      <c r="E131" s="1427"/>
      <c r="F131" s="1427"/>
      <c r="G131" s="1427"/>
      <c r="H131" s="1427"/>
      <c r="I131" s="1427"/>
      <c r="J131" s="1427"/>
      <c r="K131" s="1427"/>
      <c r="L131" s="1427"/>
      <c r="M131" s="1427"/>
      <c r="N131" s="1727"/>
    </row>
    <row r="132" spans="1:14" s="1726" customFormat="1" ht="13.5" customHeight="1" x14ac:dyDescent="0.2">
      <c r="A132" s="1424"/>
      <c r="B132" s="1427"/>
      <c r="C132" s="1430"/>
      <c r="D132" s="1427"/>
      <c r="E132" s="1427"/>
      <c r="F132" s="1427"/>
      <c r="G132" s="1427"/>
      <c r="H132" s="1427"/>
      <c r="I132" s="1427"/>
      <c r="J132" s="1427"/>
      <c r="K132" s="1427"/>
      <c r="L132" s="1427"/>
      <c r="M132" s="1427"/>
      <c r="N132" s="1727"/>
    </row>
    <row r="133" spans="1:14" s="1450" customFormat="1" ht="9.75" customHeight="1" x14ac:dyDescent="0.2">
      <c r="A133" s="1424"/>
      <c r="B133" s="1427"/>
      <c r="C133" s="1430"/>
      <c r="D133" s="1427"/>
      <c r="E133" s="1427"/>
      <c r="F133" s="1427"/>
      <c r="G133" s="1427"/>
      <c r="H133" s="1427"/>
      <c r="I133" s="1427"/>
      <c r="J133" s="1427"/>
      <c r="K133" s="1427"/>
      <c r="L133" s="1427"/>
      <c r="M133" s="1427"/>
      <c r="N133" s="1727"/>
    </row>
    <row r="134" spans="1:14" s="1450" customFormat="1" ht="12.75" customHeight="1" x14ac:dyDescent="0.2">
      <c r="A134" s="1424"/>
      <c r="B134" s="1427"/>
      <c r="C134" s="1430"/>
      <c r="D134" s="1427"/>
      <c r="E134" s="1427"/>
      <c r="F134" s="1427"/>
      <c r="G134" s="1427"/>
      <c r="H134" s="1427"/>
      <c r="I134" s="1427"/>
      <c r="J134" s="1427"/>
      <c r="K134" s="1427"/>
      <c r="L134" s="1427"/>
      <c r="M134" s="1427"/>
      <c r="N134" s="1727"/>
    </row>
    <row r="135" spans="1:14" s="1450" customFormat="1" x14ac:dyDescent="0.2">
      <c r="A135" s="1424"/>
      <c r="B135" s="1427"/>
      <c r="C135" s="1430"/>
      <c r="D135" s="1427"/>
      <c r="E135" s="1427"/>
      <c r="F135" s="1427"/>
      <c r="G135" s="1427"/>
      <c r="H135" s="1427"/>
      <c r="I135" s="1427"/>
      <c r="J135" s="1427"/>
      <c r="K135" s="1427"/>
      <c r="L135" s="1427"/>
      <c r="M135" s="1427"/>
      <c r="N135" s="1727"/>
    </row>
    <row r="136" spans="1:14" s="1450" customFormat="1" x14ac:dyDescent="0.2">
      <c r="A136" s="1424"/>
      <c r="B136" s="1427"/>
      <c r="C136" s="1430"/>
      <c r="D136" s="1427"/>
      <c r="E136" s="1427"/>
      <c r="F136" s="1427"/>
      <c r="G136" s="1427"/>
      <c r="H136" s="1427"/>
      <c r="I136" s="1427"/>
      <c r="J136" s="1427"/>
      <c r="K136" s="1427"/>
      <c r="L136" s="1427"/>
      <c r="M136" s="1427"/>
      <c r="N136" s="1727"/>
    </row>
    <row r="137" spans="1:14" s="1450" customFormat="1" x14ac:dyDescent="0.2">
      <c r="A137" s="1424"/>
      <c r="B137" s="1427"/>
      <c r="C137" s="1430"/>
      <c r="D137" s="1427"/>
      <c r="E137" s="1427"/>
      <c r="F137" s="1427"/>
      <c r="G137" s="1427"/>
      <c r="H137" s="1427"/>
      <c r="I137" s="1427"/>
      <c r="J137" s="1427"/>
      <c r="K137" s="1427"/>
      <c r="L137" s="1427"/>
      <c r="M137" s="1427"/>
      <c r="N137" s="1727"/>
    </row>
    <row r="138" spans="1:14" s="1450" customFormat="1" x14ac:dyDescent="0.2">
      <c r="A138" s="1424"/>
      <c r="B138" s="1427"/>
      <c r="C138" s="1430"/>
      <c r="D138" s="1427"/>
      <c r="E138" s="1427"/>
      <c r="F138" s="1427"/>
      <c r="G138" s="1427"/>
      <c r="H138" s="1427"/>
      <c r="I138" s="1427"/>
      <c r="J138" s="1427"/>
      <c r="K138" s="1427"/>
      <c r="L138" s="1427"/>
      <c r="M138" s="1427"/>
      <c r="N138" s="1727"/>
    </row>
    <row r="139" spans="1:14" s="1450" customFormat="1" x14ac:dyDescent="0.2">
      <c r="A139" s="1424"/>
      <c r="B139" s="1427"/>
      <c r="C139" s="1430"/>
      <c r="D139" s="1427"/>
      <c r="E139" s="1427"/>
      <c r="F139" s="1427"/>
      <c r="G139" s="1427"/>
      <c r="H139" s="1427"/>
      <c r="I139" s="1427"/>
      <c r="J139" s="1427"/>
      <c r="K139" s="1427"/>
      <c r="L139" s="1427"/>
      <c r="M139" s="1427"/>
      <c r="N139" s="1727"/>
    </row>
    <row r="140" spans="1:14" s="1726" customFormat="1" ht="22.5" customHeight="1" x14ac:dyDescent="0.2">
      <c r="A140" s="1424"/>
      <c r="B140" s="1427"/>
      <c r="C140" s="1430"/>
      <c r="D140" s="1427"/>
      <c r="E140" s="1427"/>
      <c r="F140" s="1427"/>
      <c r="G140" s="1427"/>
      <c r="H140" s="1427"/>
      <c r="I140" s="1427"/>
      <c r="J140" s="1427"/>
      <c r="K140" s="1427"/>
      <c r="L140" s="1427"/>
      <c r="M140" s="1427"/>
      <c r="N140" s="1727"/>
    </row>
    <row r="141" spans="1:14" s="1450" customFormat="1" ht="12.75" customHeight="1" x14ac:dyDescent="0.2">
      <c r="A141" s="1424"/>
      <c r="B141" s="1427"/>
      <c r="C141" s="1430"/>
      <c r="D141" s="1427"/>
      <c r="E141" s="1427"/>
      <c r="F141" s="1427"/>
      <c r="G141" s="1427"/>
      <c r="H141" s="1427"/>
      <c r="I141" s="1427"/>
      <c r="J141" s="1427"/>
      <c r="K141" s="1427"/>
      <c r="L141" s="1427"/>
      <c r="M141" s="1427"/>
      <c r="N141" s="1727"/>
    </row>
    <row r="142" spans="1:14" s="1450" customFormat="1" ht="12.75" customHeight="1" x14ac:dyDescent="0.2">
      <c r="A142" s="1424"/>
      <c r="B142" s="1427"/>
      <c r="C142" s="1430"/>
      <c r="D142" s="1427"/>
      <c r="E142" s="1427"/>
      <c r="F142" s="1427"/>
      <c r="G142" s="1427"/>
      <c r="H142" s="1427"/>
      <c r="I142" s="1427"/>
      <c r="J142" s="1427"/>
      <c r="K142" s="1427"/>
      <c r="L142" s="1427"/>
      <c r="M142" s="1427"/>
      <c r="N142" s="1727"/>
    </row>
    <row r="143" spans="1:14" s="1450" customFormat="1" x14ac:dyDescent="0.2">
      <c r="A143" s="1424"/>
      <c r="B143" s="1427"/>
      <c r="C143" s="1430"/>
      <c r="D143" s="1427"/>
      <c r="E143" s="1427"/>
      <c r="F143" s="1427"/>
      <c r="G143" s="1427"/>
      <c r="H143" s="1427"/>
      <c r="I143" s="1427"/>
      <c r="J143" s="1427"/>
      <c r="K143" s="1427"/>
      <c r="L143" s="1427"/>
      <c r="M143" s="1427"/>
      <c r="N143" s="1727"/>
    </row>
    <row r="144" spans="1:14" s="1450" customFormat="1" x14ac:dyDescent="0.2">
      <c r="A144" s="1424"/>
      <c r="B144" s="1427"/>
      <c r="C144" s="1430"/>
      <c r="D144" s="1427"/>
      <c r="E144" s="1427"/>
      <c r="F144" s="1427"/>
      <c r="G144" s="1427"/>
      <c r="H144" s="1427"/>
      <c r="I144" s="1427"/>
      <c r="J144" s="1427"/>
      <c r="K144" s="1427"/>
      <c r="L144" s="1427"/>
      <c r="M144" s="1427"/>
      <c r="N144" s="1727"/>
    </row>
    <row r="145" spans="1:14" s="1726" customFormat="1" ht="34.5" customHeight="1" x14ac:dyDescent="0.2">
      <c r="A145" s="1424"/>
      <c r="B145" s="1427"/>
      <c r="C145" s="1430"/>
      <c r="D145" s="1427"/>
      <c r="E145" s="1427"/>
      <c r="F145" s="1427"/>
      <c r="G145" s="1427"/>
      <c r="H145" s="1427"/>
      <c r="I145" s="1427"/>
      <c r="J145" s="1427"/>
      <c r="K145" s="1427"/>
      <c r="L145" s="1427"/>
      <c r="M145" s="1427"/>
      <c r="N145" s="1727"/>
    </row>
    <row r="146" spans="1:14" s="1450" customFormat="1" ht="14.25" customHeight="1" x14ac:dyDescent="0.2">
      <c r="A146" s="1424"/>
      <c r="B146" s="1427"/>
      <c r="C146" s="1430"/>
      <c r="D146" s="1427"/>
      <c r="E146" s="1427"/>
      <c r="F146" s="1427"/>
      <c r="G146" s="1427"/>
      <c r="H146" s="1427"/>
      <c r="I146" s="1427"/>
      <c r="J146" s="1427"/>
      <c r="K146" s="1427"/>
      <c r="L146" s="1427"/>
      <c r="M146" s="1427"/>
      <c r="N146" s="1727"/>
    </row>
    <row r="147" spans="1:14" s="1450" customFormat="1" ht="12.75" customHeight="1" x14ac:dyDescent="0.2">
      <c r="A147" s="1424"/>
      <c r="B147" s="1427"/>
      <c r="C147" s="1430"/>
      <c r="D147" s="1427"/>
      <c r="E147" s="1427"/>
      <c r="F147" s="1427"/>
      <c r="G147" s="1427"/>
      <c r="H147" s="1427"/>
      <c r="I147" s="1427"/>
      <c r="J147" s="1427"/>
      <c r="K147" s="1427"/>
      <c r="L147" s="1427"/>
      <c r="M147" s="1427"/>
      <c r="N147" s="1727"/>
    </row>
    <row r="148" spans="1:14" s="1450" customFormat="1" x14ac:dyDescent="0.2">
      <c r="A148" s="1424"/>
      <c r="B148" s="1427"/>
      <c r="C148" s="1430"/>
      <c r="D148" s="1427"/>
      <c r="E148" s="1427"/>
      <c r="F148" s="1427"/>
      <c r="G148" s="1427"/>
      <c r="H148" s="1427"/>
      <c r="I148" s="1427"/>
      <c r="J148" s="1427"/>
      <c r="K148" s="1427"/>
      <c r="L148" s="1427"/>
      <c r="M148" s="1427"/>
      <c r="N148" s="1727"/>
    </row>
    <row r="149" spans="1:14" s="1450" customFormat="1" x14ac:dyDescent="0.2">
      <c r="A149" s="1424"/>
      <c r="B149" s="1427"/>
      <c r="C149" s="1430"/>
      <c r="D149" s="1427"/>
      <c r="E149" s="1427"/>
      <c r="F149" s="1427"/>
      <c r="G149" s="1427"/>
      <c r="H149" s="1427"/>
      <c r="I149" s="1427"/>
      <c r="J149" s="1427"/>
      <c r="K149" s="1427"/>
      <c r="L149" s="1427"/>
      <c r="M149" s="1427"/>
      <c r="N149" s="1727"/>
    </row>
    <row r="150" spans="1:14" s="1450" customFormat="1" x14ac:dyDescent="0.2">
      <c r="A150" s="1424"/>
      <c r="B150" s="1427"/>
      <c r="C150" s="1430"/>
      <c r="D150" s="1427"/>
      <c r="E150" s="1427"/>
      <c r="F150" s="1427"/>
      <c r="G150" s="1427"/>
      <c r="H150" s="1427"/>
      <c r="I150" s="1427"/>
      <c r="J150" s="1427"/>
      <c r="K150" s="1427"/>
      <c r="L150" s="1427"/>
      <c r="M150" s="1427"/>
      <c r="N150" s="1727"/>
    </row>
    <row r="151" spans="1:14" s="1726" customFormat="1" ht="36.75" customHeight="1" x14ac:dyDescent="0.2">
      <c r="A151" s="1424"/>
      <c r="B151" s="1427"/>
      <c r="C151" s="1430"/>
      <c r="D151" s="1427"/>
      <c r="E151" s="1427"/>
      <c r="F151" s="1427"/>
      <c r="G151" s="1427"/>
      <c r="H151" s="1427"/>
      <c r="I151" s="1427"/>
      <c r="J151" s="1427"/>
      <c r="K151" s="1427"/>
      <c r="L151" s="1427"/>
      <c r="M151" s="1427"/>
      <c r="N151" s="1727"/>
    </row>
    <row r="152" spans="1:14" s="1450" customFormat="1" ht="9.75" customHeight="1" x14ac:dyDescent="0.2">
      <c r="A152" s="1424"/>
      <c r="B152" s="1427"/>
      <c r="C152" s="1430"/>
      <c r="D152" s="1427"/>
      <c r="E152" s="1427"/>
      <c r="F152" s="1427"/>
      <c r="G152" s="1427"/>
      <c r="H152" s="1427"/>
      <c r="I152" s="1427"/>
      <c r="J152" s="1427"/>
      <c r="K152" s="1427"/>
      <c r="L152" s="1427"/>
      <c r="M152" s="1427"/>
      <c r="N152" s="1727"/>
    </row>
    <row r="153" spans="1:14" s="1450" customFormat="1" ht="12.75" customHeight="1" x14ac:dyDescent="0.2">
      <c r="A153" s="1424"/>
      <c r="B153" s="1427"/>
      <c r="C153" s="1430"/>
      <c r="D153" s="1427"/>
      <c r="E153" s="1427"/>
      <c r="F153" s="1427"/>
      <c r="G153" s="1427"/>
      <c r="H153" s="1427"/>
      <c r="I153" s="1427"/>
      <c r="J153" s="1427"/>
      <c r="K153" s="1427"/>
      <c r="L153" s="1427"/>
      <c r="M153" s="1427"/>
      <c r="N153" s="1727"/>
    </row>
    <row r="154" spans="1:14" s="1450" customFormat="1" x14ac:dyDescent="0.2">
      <c r="A154" s="1424"/>
      <c r="B154" s="1427"/>
      <c r="C154" s="1430"/>
      <c r="D154" s="1427"/>
      <c r="E154" s="1427"/>
      <c r="F154" s="1427"/>
      <c r="G154" s="1427"/>
      <c r="H154" s="1427"/>
      <c r="I154" s="1427"/>
      <c r="J154" s="1427"/>
      <c r="K154" s="1427"/>
      <c r="L154" s="1427"/>
      <c r="M154" s="1427"/>
      <c r="N154" s="1727"/>
    </row>
    <row r="155" spans="1:14" s="1450" customFormat="1" x14ac:dyDescent="0.2">
      <c r="A155" s="1424"/>
      <c r="B155" s="1427"/>
      <c r="C155" s="1430"/>
      <c r="D155" s="1427"/>
      <c r="E155" s="1427"/>
      <c r="F155" s="1427"/>
      <c r="G155" s="1427"/>
      <c r="H155" s="1427"/>
      <c r="I155" s="1427"/>
      <c r="J155" s="1427"/>
      <c r="K155" s="1427"/>
      <c r="L155" s="1427"/>
      <c r="M155" s="1427"/>
      <c r="N155" s="1727"/>
    </row>
    <row r="156" spans="1:14" s="1450" customFormat="1" x14ac:dyDescent="0.2">
      <c r="A156" s="1424"/>
      <c r="B156" s="1427"/>
      <c r="C156" s="1430"/>
      <c r="D156" s="1427"/>
      <c r="E156" s="1427"/>
      <c r="F156" s="1427"/>
      <c r="G156" s="1427"/>
      <c r="H156" s="1427"/>
      <c r="I156" s="1427"/>
      <c r="J156" s="1427"/>
      <c r="K156" s="1427"/>
      <c r="L156" s="1427"/>
      <c r="M156" s="1427"/>
      <c r="N156" s="1727"/>
    </row>
    <row r="157" spans="1:14" s="1726" customFormat="1" ht="33.75" customHeight="1" x14ac:dyDescent="0.2">
      <c r="A157" s="1424"/>
      <c r="B157" s="1427"/>
      <c r="C157" s="1430"/>
      <c r="D157" s="1427"/>
      <c r="E157" s="1427"/>
      <c r="F157" s="1427"/>
      <c r="G157" s="1427"/>
      <c r="H157" s="1427"/>
      <c r="I157" s="1427"/>
      <c r="J157" s="1427"/>
      <c r="K157" s="1427"/>
      <c r="L157" s="1427"/>
      <c r="M157" s="1427"/>
      <c r="N157" s="1727"/>
    </row>
    <row r="158" spans="1:14" s="1450" customFormat="1" ht="9.75" customHeight="1" x14ac:dyDescent="0.2">
      <c r="A158" s="1424"/>
      <c r="B158" s="1427"/>
      <c r="C158" s="1430"/>
      <c r="D158" s="1427"/>
      <c r="E158" s="1427"/>
      <c r="F158" s="1427"/>
      <c r="G158" s="1427"/>
      <c r="H158" s="1427"/>
      <c r="I158" s="1427"/>
      <c r="J158" s="1427"/>
      <c r="K158" s="1427"/>
      <c r="L158" s="1427"/>
      <c r="M158" s="1427"/>
      <c r="N158" s="1727"/>
    </row>
    <row r="159" spans="1:14" s="1450" customFormat="1" ht="12.75" customHeight="1" x14ac:dyDescent="0.2">
      <c r="A159" s="1424"/>
      <c r="B159" s="1427"/>
      <c r="C159" s="1430"/>
      <c r="D159" s="1427"/>
      <c r="E159" s="1427"/>
      <c r="F159" s="1427"/>
      <c r="G159" s="1427"/>
      <c r="H159" s="1427"/>
      <c r="I159" s="1427"/>
      <c r="J159" s="1427"/>
      <c r="K159" s="1427"/>
      <c r="L159" s="1427"/>
      <c r="M159" s="1427"/>
      <c r="N159" s="1727"/>
    </row>
    <row r="160" spans="1:14" s="1450" customFormat="1" x14ac:dyDescent="0.2">
      <c r="A160" s="1424"/>
      <c r="B160" s="1427"/>
      <c r="C160" s="1430"/>
      <c r="D160" s="1427"/>
      <c r="E160" s="1427"/>
      <c r="F160" s="1427"/>
      <c r="G160" s="1427"/>
      <c r="H160" s="1427"/>
      <c r="I160" s="1427"/>
      <c r="J160" s="1427"/>
      <c r="K160" s="1427"/>
      <c r="L160" s="1427"/>
      <c r="M160" s="1427"/>
      <c r="N160" s="1727"/>
    </row>
    <row r="161" spans="1:14" s="1450" customFormat="1" x14ac:dyDescent="0.2">
      <c r="A161" s="1424"/>
      <c r="B161" s="1427"/>
      <c r="C161" s="1430"/>
      <c r="D161" s="1427"/>
      <c r="E161" s="1427"/>
      <c r="F161" s="1427"/>
      <c r="G161" s="1427"/>
      <c r="H161" s="1427"/>
      <c r="I161" s="1427"/>
      <c r="J161" s="1427"/>
      <c r="K161" s="1427"/>
      <c r="L161" s="1427"/>
      <c r="M161" s="1427"/>
      <c r="N161" s="1727"/>
    </row>
    <row r="162" spans="1:14" s="1450" customFormat="1" x14ac:dyDescent="0.2">
      <c r="A162" s="1424"/>
      <c r="B162" s="1427"/>
      <c r="C162" s="1430"/>
      <c r="D162" s="1427"/>
      <c r="E162" s="1427"/>
      <c r="F162" s="1427"/>
      <c r="G162" s="1427"/>
      <c r="H162" s="1427"/>
      <c r="I162" s="1427"/>
      <c r="J162" s="1427"/>
      <c r="K162" s="1427"/>
      <c r="L162" s="1427"/>
      <c r="M162" s="1427"/>
      <c r="N162" s="1727"/>
    </row>
    <row r="163" spans="1:14" s="1450" customFormat="1" x14ac:dyDescent="0.2">
      <c r="A163" s="1424"/>
      <c r="B163" s="1427"/>
      <c r="C163" s="1430"/>
      <c r="D163" s="1427"/>
      <c r="E163" s="1427"/>
      <c r="F163" s="1427"/>
      <c r="G163" s="1427"/>
      <c r="H163" s="1427"/>
      <c r="I163" s="1427"/>
      <c r="J163" s="1427"/>
      <c r="K163" s="1427"/>
      <c r="L163" s="1427"/>
      <c r="M163" s="1427"/>
      <c r="N163" s="1727"/>
    </row>
    <row r="164" spans="1:14" s="1728" customFormat="1" ht="14.25" customHeight="1" x14ac:dyDescent="0.2">
      <c r="A164" s="1424"/>
      <c r="B164" s="1427"/>
      <c r="C164" s="1430"/>
      <c r="D164" s="1427"/>
      <c r="E164" s="1427"/>
      <c r="F164" s="1427"/>
      <c r="G164" s="1427"/>
      <c r="H164" s="1427"/>
      <c r="I164" s="1427"/>
      <c r="J164" s="1427"/>
      <c r="K164" s="1427"/>
      <c r="L164" s="1427"/>
      <c r="M164" s="1427"/>
      <c r="N164" s="1727"/>
    </row>
    <row r="165" spans="1:14" s="1450" customFormat="1" x14ac:dyDescent="0.2">
      <c r="A165" s="1424"/>
      <c r="B165" s="1427"/>
      <c r="C165" s="1430"/>
      <c r="D165" s="1427"/>
      <c r="E165" s="1427"/>
      <c r="F165" s="1427"/>
      <c r="G165" s="1427"/>
      <c r="H165" s="1427"/>
      <c r="I165" s="1427"/>
      <c r="J165" s="1427"/>
      <c r="K165" s="1427"/>
      <c r="L165" s="1427"/>
      <c r="M165" s="1427"/>
      <c r="N165" s="1727"/>
    </row>
    <row r="166" spans="1:14" s="1731" customFormat="1" ht="23.25" customHeight="1" x14ac:dyDescent="0.2">
      <c r="A166" s="1424"/>
      <c r="B166" s="1427"/>
      <c r="C166" s="1430"/>
      <c r="D166" s="1427"/>
      <c r="E166" s="1427"/>
      <c r="F166" s="1427"/>
      <c r="G166" s="1427"/>
      <c r="H166" s="1427"/>
      <c r="I166" s="1427"/>
      <c r="J166" s="1427"/>
      <c r="K166" s="1427"/>
      <c r="L166" s="1427"/>
      <c r="M166" s="1427"/>
      <c r="N166" s="1727"/>
    </row>
    <row r="167" spans="1:14" s="1450" customFormat="1" x14ac:dyDescent="0.2">
      <c r="A167" s="1424"/>
      <c r="B167" s="1427"/>
      <c r="C167" s="1430"/>
      <c r="D167" s="1427"/>
      <c r="E167" s="1427"/>
      <c r="F167" s="1427"/>
      <c r="G167" s="1427"/>
      <c r="H167" s="1427"/>
      <c r="I167" s="1427"/>
      <c r="J167" s="1427"/>
      <c r="K167" s="1427"/>
      <c r="L167" s="1427"/>
      <c r="M167" s="1427"/>
      <c r="N167" s="1727"/>
    </row>
    <row r="168" spans="1:14" s="1730" customFormat="1" ht="15.75" customHeight="1" x14ac:dyDescent="0.2">
      <c r="A168" s="1424"/>
      <c r="B168" s="1427"/>
      <c r="C168" s="1430"/>
      <c r="D168" s="1427"/>
      <c r="E168" s="1427"/>
      <c r="F168" s="1427"/>
      <c r="G168" s="1427"/>
      <c r="H168" s="1427"/>
      <c r="I168" s="1427"/>
      <c r="J168" s="1427"/>
      <c r="K168" s="1427"/>
      <c r="L168" s="1427"/>
      <c r="M168" s="1427"/>
      <c r="N168" s="1727"/>
    </row>
    <row r="169" spans="1:14" s="1730" customFormat="1" ht="12.75" customHeight="1" x14ac:dyDescent="0.2">
      <c r="A169" s="1424"/>
      <c r="B169" s="1427"/>
      <c r="C169" s="1430"/>
      <c r="D169" s="1427"/>
      <c r="E169" s="1427"/>
      <c r="F169" s="1427"/>
      <c r="G169" s="1427"/>
      <c r="H169" s="1427"/>
      <c r="I169" s="1427"/>
      <c r="J169" s="1427"/>
      <c r="K169" s="1427"/>
      <c r="L169" s="1427"/>
      <c r="M169" s="1427"/>
      <c r="N169" s="1727"/>
    </row>
    <row r="170" spans="1:14" s="1730" customFormat="1" ht="12.75" customHeight="1" x14ac:dyDescent="0.2">
      <c r="A170" s="1424"/>
      <c r="B170" s="1427"/>
      <c r="C170" s="1430"/>
      <c r="D170" s="1427"/>
      <c r="E170" s="1427"/>
      <c r="F170" s="1427"/>
      <c r="G170" s="1427"/>
      <c r="H170" s="1427"/>
      <c r="I170" s="1427"/>
      <c r="J170" s="1427"/>
      <c r="K170" s="1427"/>
      <c r="L170" s="1427"/>
      <c r="M170" s="1427"/>
      <c r="N170" s="1727"/>
    </row>
    <row r="171" spans="1:14" s="1730" customFormat="1" ht="12" customHeight="1" x14ac:dyDescent="0.2">
      <c r="A171" s="1424"/>
      <c r="B171" s="1427"/>
      <c r="C171" s="1430"/>
      <c r="D171" s="1427"/>
      <c r="E171" s="1427"/>
      <c r="F171" s="1427"/>
      <c r="G171" s="1427"/>
      <c r="H171" s="1427"/>
      <c r="I171" s="1427"/>
      <c r="J171" s="1427"/>
      <c r="K171" s="1427"/>
      <c r="L171" s="1427"/>
      <c r="M171" s="1427"/>
      <c r="N171" s="1727"/>
    </row>
    <row r="172" spans="1:14" s="1728" customFormat="1" ht="24" customHeight="1" x14ac:dyDescent="0.2">
      <c r="A172" s="1424"/>
      <c r="B172" s="1427"/>
      <c r="C172" s="1430"/>
      <c r="D172" s="1427"/>
      <c r="E172" s="1427"/>
      <c r="F172" s="1427"/>
      <c r="G172" s="1427"/>
      <c r="H172" s="1427"/>
      <c r="I172" s="1427"/>
      <c r="J172" s="1427"/>
      <c r="K172" s="1427"/>
      <c r="L172" s="1427"/>
      <c r="M172" s="1427"/>
      <c r="N172" s="1727"/>
    </row>
    <row r="173" spans="1:14" s="1450" customFormat="1" ht="11.25" customHeight="1" x14ac:dyDescent="0.2">
      <c r="A173" s="1424"/>
      <c r="B173" s="1427"/>
      <c r="C173" s="1430"/>
      <c r="D173" s="1427"/>
      <c r="E173" s="1427"/>
      <c r="F173" s="1427"/>
      <c r="G173" s="1427"/>
      <c r="H173" s="1427"/>
      <c r="I173" s="1427"/>
      <c r="J173" s="1427"/>
      <c r="K173" s="1427"/>
      <c r="L173" s="1427"/>
      <c r="M173" s="1427"/>
      <c r="N173" s="1727"/>
    </row>
    <row r="174" spans="1:14" s="1450" customFormat="1" ht="12.75" customHeight="1" x14ac:dyDescent="0.2">
      <c r="A174" s="1424"/>
      <c r="B174" s="1427"/>
      <c r="C174" s="1430"/>
      <c r="D174" s="1427"/>
      <c r="E174" s="1427"/>
      <c r="F174" s="1427"/>
      <c r="G174" s="1427"/>
      <c r="H174" s="1427"/>
      <c r="I174" s="1427"/>
      <c r="J174" s="1427"/>
      <c r="K174" s="1427"/>
      <c r="L174" s="1427"/>
      <c r="M174" s="1427"/>
      <c r="N174" s="1727"/>
    </row>
    <row r="175" spans="1:14" s="1450" customFormat="1" x14ac:dyDescent="0.2">
      <c r="A175" s="1424"/>
      <c r="B175" s="1427"/>
      <c r="C175" s="1430"/>
      <c r="D175" s="1427"/>
      <c r="E175" s="1427"/>
      <c r="F175" s="1427"/>
      <c r="G175" s="1427"/>
      <c r="H175" s="1427"/>
      <c r="I175" s="1427"/>
      <c r="J175" s="1427"/>
      <c r="K175" s="1427"/>
      <c r="L175" s="1427"/>
      <c r="M175" s="1427"/>
      <c r="N175" s="1727"/>
    </row>
    <row r="176" spans="1:14" s="1450" customFormat="1" x14ac:dyDescent="0.2">
      <c r="A176" s="1424"/>
      <c r="B176" s="1427"/>
      <c r="C176" s="1430"/>
      <c r="D176" s="1427"/>
      <c r="E176" s="1427"/>
      <c r="F176" s="1427"/>
      <c r="G176" s="1427"/>
      <c r="H176" s="1427"/>
      <c r="I176" s="1427"/>
      <c r="J176" s="1427"/>
      <c r="K176" s="1427"/>
      <c r="L176" s="1427"/>
      <c r="M176" s="1427"/>
      <c r="N176" s="1727"/>
    </row>
    <row r="177" spans="1:14" s="1450" customFormat="1" x14ac:dyDescent="0.2">
      <c r="A177" s="1424"/>
      <c r="B177" s="1427"/>
      <c r="C177" s="1430"/>
      <c r="D177" s="1427"/>
      <c r="E177" s="1427"/>
      <c r="F177" s="1427"/>
      <c r="G177" s="1427"/>
      <c r="H177" s="1427"/>
      <c r="I177" s="1427"/>
      <c r="J177" s="1427"/>
      <c r="K177" s="1427"/>
      <c r="L177" s="1427"/>
      <c r="M177" s="1427"/>
      <c r="N177" s="1727"/>
    </row>
    <row r="178" spans="1:14" s="1450" customFormat="1" x14ac:dyDescent="0.2">
      <c r="A178" s="1424"/>
      <c r="B178" s="1427"/>
      <c r="C178" s="1430"/>
      <c r="D178" s="1427"/>
      <c r="E178" s="1427"/>
      <c r="F178" s="1427"/>
      <c r="G178" s="1427"/>
      <c r="H178" s="1427"/>
      <c r="I178" s="1427"/>
      <c r="J178" s="1427"/>
      <c r="K178" s="1427"/>
      <c r="L178" s="1427"/>
      <c r="M178" s="1427"/>
      <c r="N178" s="1727"/>
    </row>
    <row r="179" spans="1:14" s="1450" customFormat="1" ht="21.75" customHeight="1" x14ac:dyDescent="0.2">
      <c r="A179" s="1424"/>
      <c r="B179" s="1427"/>
      <c r="C179" s="1430"/>
      <c r="D179" s="1427"/>
      <c r="E179" s="1427"/>
      <c r="F179" s="1427"/>
      <c r="G179" s="1427"/>
      <c r="H179" s="1427"/>
      <c r="I179" s="1427"/>
      <c r="J179" s="1427"/>
      <c r="K179" s="1427"/>
      <c r="L179" s="1427"/>
      <c r="M179" s="1427"/>
      <c r="N179" s="1727"/>
    </row>
    <row r="180" spans="1:14" s="1450" customFormat="1" ht="12.75" customHeight="1" x14ac:dyDescent="0.2">
      <c r="A180" s="1424"/>
      <c r="B180" s="1427"/>
      <c r="C180" s="1430"/>
      <c r="D180" s="1427"/>
      <c r="E180" s="1427"/>
      <c r="F180" s="1427"/>
      <c r="G180" s="1427"/>
      <c r="H180" s="1427"/>
      <c r="I180" s="1427"/>
      <c r="J180" s="1427"/>
      <c r="K180" s="1427"/>
      <c r="L180" s="1427"/>
      <c r="M180" s="1427"/>
      <c r="N180" s="1727"/>
    </row>
    <row r="181" spans="1:14" s="1450" customFormat="1" x14ac:dyDescent="0.2">
      <c r="A181" s="1424"/>
      <c r="B181" s="1427"/>
      <c r="C181" s="1430"/>
      <c r="D181" s="1427"/>
      <c r="E181" s="1427"/>
      <c r="F181" s="1427"/>
      <c r="G181" s="1427"/>
      <c r="H181" s="1427"/>
      <c r="I181" s="1427"/>
      <c r="J181" s="1427"/>
      <c r="K181" s="1427"/>
      <c r="L181" s="1427"/>
      <c r="M181" s="1427"/>
      <c r="N181" s="1727"/>
    </row>
    <row r="182" spans="1:14" s="1450" customFormat="1" x14ac:dyDescent="0.2">
      <c r="A182" s="1424"/>
      <c r="B182" s="1427"/>
      <c r="C182" s="1430"/>
      <c r="D182" s="1427"/>
      <c r="E182" s="1427"/>
      <c r="F182" s="1427"/>
      <c r="G182" s="1427"/>
      <c r="H182" s="1427"/>
      <c r="I182" s="1427"/>
      <c r="J182" s="1427"/>
      <c r="K182" s="1427"/>
      <c r="L182" s="1427"/>
      <c r="M182" s="1427"/>
      <c r="N182" s="1727"/>
    </row>
    <row r="183" spans="1:14" s="1450" customFormat="1" x14ac:dyDescent="0.2">
      <c r="A183" s="1424"/>
      <c r="B183" s="1427"/>
      <c r="C183" s="1430"/>
      <c r="D183" s="1427"/>
      <c r="E183" s="1427"/>
      <c r="F183" s="1427"/>
      <c r="G183" s="1427"/>
      <c r="H183" s="1427"/>
      <c r="I183" s="1427"/>
      <c r="J183" s="1427"/>
      <c r="K183" s="1427"/>
      <c r="L183" s="1427"/>
      <c r="M183" s="1427"/>
      <c r="N183" s="1727"/>
    </row>
    <row r="184" spans="1:14" s="1450" customFormat="1" x14ac:dyDescent="0.2">
      <c r="A184" s="1424"/>
      <c r="B184" s="1427"/>
      <c r="C184" s="1430"/>
      <c r="D184" s="1427"/>
      <c r="E184" s="1427"/>
      <c r="F184" s="1427"/>
      <c r="G184" s="1427"/>
      <c r="H184" s="1427"/>
      <c r="I184" s="1427"/>
      <c r="J184" s="1427"/>
      <c r="K184" s="1427"/>
      <c r="L184" s="1427"/>
      <c r="M184" s="1427"/>
      <c r="N184" s="1727"/>
    </row>
    <row r="185" spans="1:14" s="1450" customFormat="1" x14ac:dyDescent="0.2">
      <c r="A185" s="1424"/>
      <c r="B185" s="1427"/>
      <c r="C185" s="1430"/>
      <c r="D185" s="1427"/>
      <c r="E185" s="1427"/>
      <c r="F185" s="1427"/>
      <c r="G185" s="1427"/>
      <c r="H185" s="1427"/>
      <c r="I185" s="1427"/>
      <c r="J185" s="1427"/>
      <c r="K185" s="1427"/>
      <c r="L185" s="1427"/>
      <c r="M185" s="1427"/>
      <c r="N185" s="1727"/>
    </row>
    <row r="186" spans="1:14" s="1450" customFormat="1" ht="32.25" customHeight="1" x14ac:dyDescent="0.2">
      <c r="A186" s="1424"/>
      <c r="B186" s="1427"/>
      <c r="C186" s="1430"/>
      <c r="D186" s="1427"/>
      <c r="E186" s="1427"/>
      <c r="F186" s="1427"/>
      <c r="G186" s="1427"/>
      <c r="H186" s="1427"/>
      <c r="I186" s="1427"/>
      <c r="J186" s="1427"/>
      <c r="K186" s="1427"/>
      <c r="L186" s="1427"/>
      <c r="M186" s="1427"/>
      <c r="N186" s="1727"/>
    </row>
    <row r="187" spans="1:14" s="1450" customFormat="1" ht="15" customHeight="1" x14ac:dyDescent="0.2">
      <c r="A187" s="1424"/>
      <c r="B187" s="1427"/>
      <c r="C187" s="1430"/>
      <c r="D187" s="1427"/>
      <c r="E187" s="1427"/>
      <c r="F187" s="1427"/>
      <c r="G187" s="1427"/>
      <c r="H187" s="1427"/>
      <c r="I187" s="1427"/>
      <c r="J187" s="1427"/>
      <c r="K187" s="1427"/>
      <c r="L187" s="1427"/>
      <c r="M187" s="1427"/>
      <c r="N187" s="1727"/>
    </row>
    <row r="188" spans="1:14" s="1450" customFormat="1" ht="12.75" customHeight="1" x14ac:dyDescent="0.2">
      <c r="A188" s="1424"/>
      <c r="B188" s="1427"/>
      <c r="C188" s="1430"/>
      <c r="D188" s="1427"/>
      <c r="E188" s="1427"/>
      <c r="F188" s="1427"/>
      <c r="G188" s="1427"/>
      <c r="H188" s="1427"/>
      <c r="I188" s="1427"/>
      <c r="J188" s="1427"/>
      <c r="K188" s="1427"/>
      <c r="L188" s="1427"/>
      <c r="M188" s="1427"/>
      <c r="N188" s="1727"/>
    </row>
    <row r="189" spans="1:14" s="1450" customFormat="1" x14ac:dyDescent="0.2">
      <c r="A189" s="1424"/>
      <c r="B189" s="1427"/>
      <c r="C189" s="1430"/>
      <c r="D189" s="1427"/>
      <c r="E189" s="1427"/>
      <c r="F189" s="1427"/>
      <c r="G189" s="1427"/>
      <c r="H189" s="1427"/>
      <c r="I189" s="1427"/>
      <c r="J189" s="1427"/>
      <c r="K189" s="1427"/>
      <c r="L189" s="1427"/>
      <c r="M189" s="1427"/>
      <c r="N189" s="1727"/>
    </row>
    <row r="190" spans="1:14" s="1450" customFormat="1" x14ac:dyDescent="0.2">
      <c r="A190" s="1424"/>
      <c r="B190" s="1427"/>
      <c r="C190" s="1430"/>
      <c r="D190" s="1427"/>
      <c r="E190" s="1427"/>
      <c r="F190" s="1427"/>
      <c r="G190" s="1427"/>
      <c r="H190" s="1427"/>
      <c r="I190" s="1427"/>
      <c r="J190" s="1427"/>
      <c r="K190" s="1427"/>
      <c r="L190" s="1427"/>
      <c r="M190" s="1427"/>
      <c r="N190" s="1727"/>
    </row>
    <row r="191" spans="1:14" s="1450" customFormat="1" x14ac:dyDescent="0.2">
      <c r="A191" s="1424"/>
      <c r="B191" s="1427"/>
      <c r="C191" s="1430"/>
      <c r="D191" s="1427"/>
      <c r="E191" s="1427"/>
      <c r="F191" s="1427"/>
      <c r="G191" s="1427"/>
      <c r="H191" s="1427"/>
      <c r="I191" s="1427"/>
      <c r="J191" s="1427"/>
      <c r="K191" s="1427"/>
      <c r="L191" s="1427"/>
      <c r="M191" s="1427"/>
      <c r="N191" s="1727"/>
    </row>
    <row r="192" spans="1:14" s="1450" customFormat="1" ht="11.25" customHeight="1" x14ac:dyDescent="0.2">
      <c r="A192" s="1424"/>
      <c r="B192" s="1427"/>
      <c r="C192" s="1430"/>
      <c r="D192" s="1427"/>
      <c r="E192" s="1427"/>
      <c r="F192" s="1427"/>
      <c r="G192" s="1427"/>
      <c r="H192" s="1427"/>
      <c r="I192" s="1427"/>
      <c r="J192" s="1427"/>
      <c r="K192" s="1427"/>
      <c r="L192" s="1427"/>
      <c r="M192" s="1427"/>
      <c r="N192" s="1727"/>
    </row>
    <row r="193" spans="1:14" s="1450" customFormat="1" ht="12.75" customHeight="1" x14ac:dyDescent="0.2">
      <c r="A193" s="1424"/>
      <c r="B193" s="1427"/>
      <c r="C193" s="1430"/>
      <c r="D193" s="1427"/>
      <c r="E193" s="1427"/>
      <c r="F193" s="1427"/>
      <c r="G193" s="1427"/>
      <c r="H193" s="1427"/>
      <c r="I193" s="1427"/>
      <c r="J193" s="1427"/>
      <c r="K193" s="1427"/>
      <c r="L193" s="1427"/>
      <c r="M193" s="1427"/>
      <c r="N193" s="1727"/>
    </row>
    <row r="194" spans="1:14" s="1450" customFormat="1" ht="12.75" customHeight="1" x14ac:dyDescent="0.2">
      <c r="A194" s="1424"/>
      <c r="B194" s="1427"/>
      <c r="C194" s="1430"/>
      <c r="D194" s="1427"/>
      <c r="E194" s="1427"/>
      <c r="F194" s="1427"/>
      <c r="G194" s="1427"/>
      <c r="H194" s="1427"/>
      <c r="I194" s="1427"/>
      <c r="J194" s="1427"/>
      <c r="K194" s="1427"/>
      <c r="L194" s="1427"/>
      <c r="M194" s="1427"/>
      <c r="N194" s="1727"/>
    </row>
    <row r="195" spans="1:14" s="1450" customFormat="1" x14ac:dyDescent="0.2">
      <c r="A195" s="1424"/>
      <c r="B195" s="1427"/>
      <c r="C195" s="1430"/>
      <c r="D195" s="1427"/>
      <c r="E195" s="1427"/>
      <c r="F195" s="1427"/>
      <c r="G195" s="1427"/>
      <c r="H195" s="1427"/>
      <c r="I195" s="1427"/>
      <c r="J195" s="1427"/>
      <c r="K195" s="1427"/>
      <c r="L195" s="1427"/>
      <c r="M195" s="1427"/>
      <c r="N195" s="1727"/>
    </row>
    <row r="196" spans="1:14" s="1450" customFormat="1" x14ac:dyDescent="0.2">
      <c r="A196" s="1424"/>
      <c r="B196" s="1427"/>
      <c r="C196" s="1430"/>
      <c r="D196" s="1427"/>
      <c r="E196" s="1427"/>
      <c r="F196" s="1427"/>
      <c r="G196" s="1427"/>
      <c r="H196" s="1427"/>
      <c r="I196" s="1427"/>
      <c r="J196" s="1427"/>
      <c r="K196" s="1427"/>
      <c r="L196" s="1427"/>
      <c r="M196" s="1427"/>
      <c r="N196" s="1727"/>
    </row>
    <row r="197" spans="1:14" s="1450" customFormat="1" x14ac:dyDescent="0.2">
      <c r="A197" s="1424"/>
      <c r="B197" s="1427"/>
      <c r="C197" s="1430"/>
      <c r="D197" s="1427"/>
      <c r="E197" s="1427"/>
      <c r="F197" s="1427"/>
      <c r="G197" s="1427"/>
      <c r="H197" s="1427"/>
      <c r="I197" s="1427"/>
      <c r="J197" s="1427"/>
      <c r="K197" s="1427"/>
      <c r="L197" s="1427"/>
      <c r="M197" s="1427"/>
      <c r="N197" s="1727"/>
    </row>
    <row r="198" spans="1:14" s="1450" customFormat="1" x14ac:dyDescent="0.2">
      <c r="A198" s="1424"/>
      <c r="B198" s="1427"/>
      <c r="C198" s="1430"/>
      <c r="D198" s="1427"/>
      <c r="E198" s="1427"/>
      <c r="F198" s="1427"/>
      <c r="G198" s="1427"/>
      <c r="H198" s="1427"/>
      <c r="I198" s="1427"/>
      <c r="J198" s="1427"/>
      <c r="K198" s="1427"/>
      <c r="L198" s="1427"/>
      <c r="M198" s="1427"/>
      <c r="N198" s="1727"/>
    </row>
    <row r="199" spans="1:14" s="1726" customFormat="1" ht="24.75" customHeight="1" x14ac:dyDescent="0.2">
      <c r="A199" s="1424"/>
      <c r="B199" s="1427"/>
      <c r="C199" s="1430"/>
      <c r="D199" s="1427"/>
      <c r="E199" s="1427"/>
      <c r="F199" s="1427"/>
      <c r="G199" s="1427"/>
      <c r="H199" s="1427"/>
      <c r="I199" s="1427"/>
      <c r="J199" s="1427"/>
      <c r="K199" s="1427"/>
      <c r="L199" s="1427"/>
      <c r="M199" s="1427"/>
      <c r="N199" s="1727"/>
    </row>
    <row r="200" spans="1:14" s="1450" customFormat="1" ht="12.75" customHeight="1" x14ac:dyDescent="0.2">
      <c r="A200" s="1424"/>
      <c r="B200" s="1427"/>
      <c r="C200" s="1430"/>
      <c r="D200" s="1427"/>
      <c r="E200" s="1427"/>
      <c r="F200" s="1427"/>
      <c r="G200" s="1427"/>
      <c r="H200" s="1427"/>
      <c r="I200" s="1427"/>
      <c r="J200" s="1427"/>
      <c r="K200" s="1427"/>
      <c r="L200" s="1427"/>
      <c r="M200" s="1427"/>
      <c r="N200" s="1727"/>
    </row>
    <row r="201" spans="1:14" s="1450" customFormat="1" ht="12.75" customHeight="1" x14ac:dyDescent="0.2">
      <c r="A201" s="1424"/>
      <c r="B201" s="1427"/>
      <c r="C201" s="1430"/>
      <c r="D201" s="1427"/>
      <c r="E201" s="1427"/>
      <c r="F201" s="1427"/>
      <c r="G201" s="1427"/>
      <c r="H201" s="1427"/>
      <c r="I201" s="1427"/>
      <c r="J201" s="1427"/>
      <c r="K201" s="1427"/>
      <c r="L201" s="1427"/>
      <c r="M201" s="1427"/>
      <c r="N201" s="1727"/>
    </row>
    <row r="202" spans="1:14" s="1450" customFormat="1" x14ac:dyDescent="0.2">
      <c r="A202" s="1424"/>
      <c r="B202" s="1427"/>
      <c r="C202" s="1430"/>
      <c r="D202" s="1427"/>
      <c r="E202" s="1427"/>
      <c r="F202" s="1427"/>
      <c r="G202" s="1427"/>
      <c r="H202" s="1427"/>
      <c r="I202" s="1427"/>
      <c r="J202" s="1427"/>
      <c r="K202" s="1427"/>
      <c r="L202" s="1427"/>
      <c r="M202" s="1427"/>
      <c r="N202" s="1727"/>
    </row>
    <row r="203" spans="1:14" s="1450" customFormat="1" x14ac:dyDescent="0.2">
      <c r="A203" s="1424"/>
      <c r="B203" s="1427"/>
      <c r="C203" s="1430"/>
      <c r="D203" s="1427"/>
      <c r="E203" s="1427"/>
      <c r="F203" s="1427"/>
      <c r="G203" s="1427"/>
      <c r="H203" s="1427"/>
      <c r="I203" s="1427"/>
      <c r="J203" s="1427"/>
      <c r="K203" s="1427"/>
      <c r="L203" s="1427"/>
      <c r="M203" s="1427"/>
      <c r="N203" s="1727"/>
    </row>
    <row r="204" spans="1:14" s="1450" customFormat="1" x14ac:dyDescent="0.2">
      <c r="A204" s="1424"/>
      <c r="B204" s="1427"/>
      <c r="C204" s="1430"/>
      <c r="D204" s="1427"/>
      <c r="E204" s="1427"/>
      <c r="F204" s="1427"/>
      <c r="G204" s="1427"/>
      <c r="H204" s="1427"/>
      <c r="I204" s="1427"/>
      <c r="J204" s="1427"/>
      <c r="K204" s="1427"/>
      <c r="L204" s="1427"/>
      <c r="M204" s="1427"/>
      <c r="N204" s="1727"/>
    </row>
    <row r="205" spans="1:14" s="1726" customFormat="1" ht="23.25" customHeight="1" thickBot="1" x14ac:dyDescent="0.25">
      <c r="A205" s="1732"/>
      <c r="B205" s="1427"/>
      <c r="C205" s="1430"/>
      <c r="D205" s="1427"/>
      <c r="E205" s="1427"/>
      <c r="F205" s="1427"/>
      <c r="G205" s="1427"/>
      <c r="H205" s="1427"/>
      <c r="I205" s="1427"/>
      <c r="J205" s="1427"/>
      <c r="K205" s="1427"/>
      <c r="L205" s="1427"/>
      <c r="M205" s="1427"/>
      <c r="N205" s="1727"/>
    </row>
    <row r="206" spans="1:14" s="1450" customFormat="1" ht="15" customHeight="1" x14ac:dyDescent="0.2">
      <c r="A206" s="1424"/>
      <c r="B206" s="1427"/>
      <c r="C206" s="1430"/>
      <c r="D206" s="1427"/>
      <c r="E206" s="1427"/>
      <c r="F206" s="1427"/>
      <c r="G206" s="1427"/>
      <c r="H206" s="1427"/>
      <c r="I206" s="1427"/>
      <c r="J206" s="1427"/>
      <c r="K206" s="1427"/>
      <c r="L206" s="1427"/>
      <c r="M206" s="1427"/>
      <c r="N206" s="1727"/>
    </row>
    <row r="207" spans="1:14" s="1450" customFormat="1" ht="12.75" customHeight="1" x14ac:dyDescent="0.2">
      <c r="A207" s="1424"/>
      <c r="B207" s="1427"/>
      <c r="C207" s="1430"/>
      <c r="D207" s="1427"/>
      <c r="E207" s="1427"/>
      <c r="F207" s="1427"/>
      <c r="G207" s="1427"/>
      <c r="H207" s="1427"/>
      <c r="I207" s="1427"/>
      <c r="J207" s="1427"/>
      <c r="K207" s="1427"/>
      <c r="L207" s="1427"/>
      <c r="M207" s="1427"/>
      <c r="N207" s="1727"/>
    </row>
    <row r="208" spans="1:14" s="1450" customFormat="1" x14ac:dyDescent="0.2">
      <c r="A208" s="1424"/>
      <c r="B208" s="1427"/>
      <c r="C208" s="1430"/>
      <c r="D208" s="1427"/>
      <c r="E208" s="1427"/>
      <c r="F208" s="1427"/>
      <c r="G208" s="1427"/>
      <c r="H208" s="1427"/>
      <c r="I208" s="1427"/>
      <c r="J208" s="1427"/>
      <c r="K208" s="1427"/>
      <c r="L208" s="1427"/>
      <c r="M208" s="1427"/>
      <c r="N208" s="1727"/>
    </row>
    <row r="209" spans="1:14" s="1450" customFormat="1" x14ac:dyDescent="0.2">
      <c r="A209" s="1424"/>
      <c r="B209" s="1427"/>
      <c r="C209" s="1430"/>
      <c r="D209" s="1427"/>
      <c r="E209" s="1427"/>
      <c r="F209" s="1427"/>
      <c r="G209" s="1427"/>
      <c r="H209" s="1427"/>
      <c r="I209" s="1427"/>
      <c r="J209" s="1427"/>
      <c r="K209" s="1427"/>
      <c r="L209" s="1427"/>
      <c r="M209" s="1427"/>
      <c r="N209" s="1727"/>
    </row>
    <row r="210" spans="1:14" s="1726" customFormat="1" ht="12.75" customHeight="1" x14ac:dyDescent="0.2">
      <c r="A210" s="1424"/>
      <c r="B210" s="1427"/>
      <c r="C210" s="1430"/>
      <c r="D210" s="1427"/>
      <c r="E210" s="1427"/>
      <c r="F210" s="1427"/>
      <c r="G210" s="1427"/>
      <c r="H210" s="1427"/>
      <c r="I210" s="1427"/>
      <c r="J210" s="1427"/>
      <c r="K210" s="1427"/>
      <c r="L210" s="1427"/>
      <c r="M210" s="1427"/>
      <c r="N210" s="1727"/>
    </row>
    <row r="211" spans="1:14" s="1450" customFormat="1" ht="9.75" customHeight="1" x14ac:dyDescent="0.2">
      <c r="A211" s="1424"/>
      <c r="B211" s="1427"/>
      <c r="C211" s="1430"/>
      <c r="D211" s="1427"/>
      <c r="E211" s="1427"/>
      <c r="F211" s="1427"/>
      <c r="G211" s="1427"/>
      <c r="H211" s="1427"/>
      <c r="I211" s="1427"/>
      <c r="J211" s="1427"/>
      <c r="K211" s="1427"/>
      <c r="L211" s="1427"/>
      <c r="M211" s="1427"/>
      <c r="N211" s="1727"/>
    </row>
    <row r="212" spans="1:14" s="1450" customFormat="1" ht="12.75" customHeight="1" x14ac:dyDescent="0.2">
      <c r="A212" s="1424"/>
      <c r="B212" s="1427"/>
      <c r="C212" s="1430"/>
      <c r="D212" s="1427"/>
      <c r="E212" s="1427"/>
      <c r="F212" s="1427"/>
      <c r="G212" s="1427"/>
      <c r="H212" s="1427"/>
      <c r="I212" s="1427"/>
      <c r="J212" s="1427"/>
      <c r="K212" s="1427"/>
      <c r="L212" s="1427"/>
      <c r="M212" s="1427"/>
      <c r="N212" s="1727"/>
    </row>
    <row r="213" spans="1:14" s="1450" customFormat="1" x14ac:dyDescent="0.2">
      <c r="A213" s="1424"/>
      <c r="B213" s="1427"/>
      <c r="C213" s="1430"/>
      <c r="D213" s="1427"/>
      <c r="E213" s="1427"/>
      <c r="F213" s="1427"/>
      <c r="G213" s="1427"/>
      <c r="H213" s="1427"/>
      <c r="I213" s="1427"/>
      <c r="J213" s="1427"/>
      <c r="K213" s="1427"/>
      <c r="L213" s="1427"/>
      <c r="M213" s="1427"/>
      <c r="N213" s="1727"/>
    </row>
    <row r="214" spans="1:14" s="1450" customFormat="1" x14ac:dyDescent="0.2">
      <c r="A214" s="1424"/>
      <c r="B214" s="1427"/>
      <c r="C214" s="1430"/>
      <c r="D214" s="1427"/>
      <c r="E214" s="1427"/>
      <c r="F214" s="1427"/>
      <c r="G214" s="1427"/>
      <c r="H214" s="1427"/>
      <c r="I214" s="1427"/>
      <c r="J214" s="1427"/>
      <c r="K214" s="1427"/>
      <c r="L214" s="1427"/>
      <c r="M214" s="1427"/>
      <c r="N214" s="1727"/>
    </row>
    <row r="215" spans="1:14" s="1728" customFormat="1" ht="24" customHeight="1" x14ac:dyDescent="0.2">
      <c r="A215" s="1424"/>
      <c r="B215" s="1427"/>
      <c r="C215" s="1430"/>
      <c r="D215" s="1427"/>
      <c r="E215" s="1427"/>
      <c r="F215" s="1427"/>
      <c r="G215" s="1427"/>
      <c r="H215" s="1427"/>
      <c r="I215" s="1427"/>
      <c r="J215" s="1427"/>
      <c r="K215" s="1427"/>
      <c r="L215" s="1427"/>
      <c r="M215" s="1427"/>
      <c r="N215" s="1727"/>
    </row>
    <row r="216" spans="1:14" s="1450" customFormat="1" ht="11.25" customHeight="1" x14ac:dyDescent="0.2">
      <c r="A216" s="1424"/>
      <c r="B216" s="1427"/>
      <c r="C216" s="1430"/>
      <c r="D216" s="1427"/>
      <c r="E216" s="1427"/>
      <c r="F216" s="1427"/>
      <c r="G216" s="1427"/>
      <c r="H216" s="1427"/>
      <c r="I216" s="1427"/>
      <c r="J216" s="1427"/>
      <c r="K216" s="1427"/>
      <c r="L216" s="1427"/>
      <c r="M216" s="1427"/>
      <c r="N216" s="1727"/>
    </row>
    <row r="217" spans="1:14" s="1450" customFormat="1" ht="12.75" customHeight="1" thickBot="1" x14ac:dyDescent="0.25">
      <c r="A217" s="1424"/>
      <c r="B217" s="1427"/>
      <c r="C217" s="1430"/>
      <c r="D217" s="1427"/>
      <c r="E217" s="1427"/>
      <c r="F217" s="1427"/>
      <c r="G217" s="1427"/>
      <c r="H217" s="1427"/>
      <c r="I217" s="1427"/>
      <c r="J217" s="1427"/>
      <c r="K217" s="1427"/>
      <c r="L217" s="1427"/>
      <c r="M217" s="1427"/>
      <c r="N217" s="1727"/>
    </row>
    <row r="218" spans="1:14" s="1450" customFormat="1" x14ac:dyDescent="0.2">
      <c r="A218" s="1733"/>
      <c r="B218" s="1427"/>
      <c r="C218" s="1430"/>
      <c r="D218" s="1427"/>
      <c r="E218" s="1427"/>
      <c r="F218" s="1427"/>
      <c r="G218" s="1427"/>
      <c r="H218" s="1427"/>
      <c r="I218" s="1427"/>
      <c r="J218" s="1427"/>
      <c r="K218" s="1427"/>
      <c r="L218" s="1427"/>
      <c r="M218" s="1427"/>
      <c r="N218" s="1727"/>
    </row>
    <row r="219" spans="1:14" s="1450" customFormat="1" x14ac:dyDescent="0.2">
      <c r="A219" s="1734"/>
      <c r="B219" s="1427"/>
      <c r="C219" s="1430"/>
      <c r="D219" s="1427"/>
      <c r="E219" s="1427"/>
      <c r="F219" s="1427"/>
      <c r="G219" s="1427"/>
      <c r="H219" s="1427"/>
      <c r="I219" s="1427"/>
      <c r="J219" s="1427"/>
      <c r="K219" s="1427"/>
      <c r="L219" s="1427"/>
      <c r="M219" s="1427"/>
      <c r="N219" s="1727"/>
    </row>
    <row r="220" spans="1:14" s="1450" customFormat="1" x14ac:dyDescent="0.2">
      <c r="A220" s="1734"/>
      <c r="B220" s="1427"/>
      <c r="C220" s="1430"/>
      <c r="D220" s="1427"/>
      <c r="E220" s="1427"/>
      <c r="F220" s="1427"/>
      <c r="G220" s="1427"/>
      <c r="H220" s="1427"/>
      <c r="I220" s="1427"/>
      <c r="J220" s="1427"/>
      <c r="K220" s="1427"/>
      <c r="L220" s="1427"/>
      <c r="M220" s="1427"/>
      <c r="N220" s="1727"/>
    </row>
    <row r="221" spans="1:14" s="1450" customFormat="1" x14ac:dyDescent="0.2">
      <c r="A221" s="1734"/>
      <c r="B221" s="1427"/>
      <c r="C221" s="1430"/>
      <c r="D221" s="1427"/>
      <c r="E221" s="1427"/>
      <c r="F221" s="1427"/>
      <c r="G221" s="1427"/>
      <c r="H221" s="1427"/>
      <c r="I221" s="1427"/>
      <c r="J221" s="1427"/>
      <c r="K221" s="1427"/>
      <c r="L221" s="1427"/>
      <c r="M221" s="1427"/>
      <c r="N221" s="1727"/>
    </row>
    <row r="222" spans="1:14" s="1450" customFormat="1" ht="12" customHeight="1" x14ac:dyDescent="0.2">
      <c r="A222" s="1734"/>
      <c r="B222" s="1427"/>
      <c r="C222" s="1430"/>
      <c r="D222" s="1427"/>
      <c r="E222" s="1427"/>
      <c r="F222" s="1427"/>
      <c r="G222" s="1427"/>
      <c r="H222" s="1427"/>
      <c r="I222" s="1427"/>
      <c r="J222" s="1427"/>
      <c r="K222" s="1427"/>
      <c r="L222" s="1427"/>
      <c r="M222" s="1427"/>
      <c r="N222" s="1727"/>
    </row>
    <row r="223" spans="1:14" s="1450" customFormat="1" ht="10.5" customHeight="1" x14ac:dyDescent="0.2">
      <c r="A223" s="1734"/>
      <c r="B223" s="1427"/>
      <c r="C223" s="1430"/>
      <c r="D223" s="1427"/>
      <c r="E223" s="1427"/>
      <c r="F223" s="1427"/>
      <c r="G223" s="1427"/>
      <c r="H223" s="1427"/>
      <c r="I223" s="1427"/>
      <c r="J223" s="1427"/>
      <c r="K223" s="1427"/>
      <c r="L223" s="1427"/>
      <c r="M223" s="1427"/>
      <c r="N223" s="1727"/>
    </row>
    <row r="224" spans="1:14" s="1450" customFormat="1" x14ac:dyDescent="0.2">
      <c r="A224" s="1734"/>
      <c r="B224" s="1427"/>
      <c r="C224" s="1430"/>
      <c r="D224" s="1427"/>
      <c r="E224" s="1427"/>
      <c r="F224" s="1427"/>
      <c r="G224" s="1427"/>
      <c r="H224" s="1427"/>
      <c r="I224" s="1427"/>
      <c r="J224" s="1427"/>
      <c r="K224" s="1427"/>
      <c r="L224" s="1427"/>
      <c r="M224" s="1427"/>
      <c r="N224" s="1727"/>
    </row>
    <row r="225" spans="1:14" s="1450" customFormat="1" x14ac:dyDescent="0.2">
      <c r="A225" s="1734"/>
      <c r="B225" s="1427"/>
      <c r="C225" s="1430"/>
      <c r="D225" s="1427"/>
      <c r="E225" s="1427"/>
      <c r="F225" s="1427"/>
      <c r="G225" s="1427"/>
      <c r="H225" s="1427"/>
      <c r="I225" s="1427"/>
      <c r="J225" s="1427"/>
      <c r="K225" s="1427"/>
      <c r="L225" s="1427"/>
      <c r="M225" s="1427"/>
      <c r="N225" s="1727"/>
    </row>
    <row r="226" spans="1:14" s="1450" customFormat="1" ht="13.5" thickBot="1" x14ac:dyDescent="0.25">
      <c r="A226" s="1732"/>
      <c r="B226" s="1427"/>
      <c r="C226" s="1430"/>
      <c r="D226" s="1427"/>
      <c r="E226" s="1427"/>
      <c r="F226" s="1427"/>
      <c r="G226" s="1427"/>
      <c r="H226" s="1427"/>
      <c r="I226" s="1427"/>
      <c r="J226" s="1427"/>
      <c r="K226" s="1427"/>
      <c r="L226" s="1427"/>
      <c r="M226" s="1427"/>
      <c r="N226" s="1727"/>
    </row>
    <row r="227" spans="1:14" s="1450" customFormat="1" x14ac:dyDescent="0.2">
      <c r="A227" s="1733"/>
      <c r="B227" s="1427"/>
      <c r="C227" s="1430"/>
      <c r="D227" s="1427"/>
      <c r="E227" s="1427"/>
      <c r="F227" s="1427"/>
      <c r="G227" s="1427"/>
      <c r="H227" s="1427"/>
      <c r="I227" s="1427"/>
      <c r="J227" s="1427"/>
      <c r="K227" s="1427"/>
      <c r="L227" s="1427"/>
      <c r="M227" s="1427"/>
      <c r="N227" s="1727"/>
    </row>
    <row r="228" spans="1:14" s="1450" customFormat="1" x14ac:dyDescent="0.2">
      <c r="A228" s="1734"/>
      <c r="B228" s="1427"/>
      <c r="C228" s="1430"/>
      <c r="D228" s="1427"/>
      <c r="E228" s="1427"/>
      <c r="F228" s="1427"/>
      <c r="G228" s="1427"/>
      <c r="H228" s="1427"/>
      <c r="I228" s="1427"/>
      <c r="J228" s="1427"/>
      <c r="K228" s="1427"/>
      <c r="L228" s="1427"/>
      <c r="M228" s="1427"/>
      <c r="N228" s="1727"/>
    </row>
    <row r="229" spans="1:14" s="1450" customFormat="1" ht="32.25" customHeight="1" x14ac:dyDescent="0.2">
      <c r="A229" s="1734"/>
      <c r="B229" s="1427"/>
      <c r="C229" s="1430"/>
      <c r="D229" s="1427"/>
      <c r="E229" s="1427"/>
      <c r="F229" s="1427"/>
      <c r="G229" s="1427"/>
      <c r="H229" s="1427"/>
      <c r="I229" s="1427"/>
      <c r="J229" s="1427"/>
      <c r="K229" s="1427"/>
      <c r="L229" s="1427"/>
      <c r="M229" s="1427"/>
      <c r="N229" s="1727"/>
    </row>
    <row r="230" spans="1:14" s="1450" customFormat="1" ht="15" customHeight="1" x14ac:dyDescent="0.2">
      <c r="A230" s="1734"/>
      <c r="B230" s="1427"/>
      <c r="C230" s="1430"/>
      <c r="D230" s="1427"/>
      <c r="E230" s="1427"/>
      <c r="F230" s="1427"/>
      <c r="G230" s="1427"/>
      <c r="H230" s="1427"/>
      <c r="I230" s="1427"/>
      <c r="J230" s="1427"/>
      <c r="K230" s="1427"/>
      <c r="L230" s="1427"/>
      <c r="M230" s="1427"/>
      <c r="N230" s="1727"/>
    </row>
    <row r="231" spans="1:14" s="1450" customFormat="1" ht="12.75" customHeight="1" x14ac:dyDescent="0.2">
      <c r="A231" s="1734"/>
      <c r="B231" s="1427"/>
      <c r="C231" s="1430"/>
      <c r="D231" s="1427"/>
      <c r="E231" s="1427"/>
      <c r="F231" s="1427"/>
      <c r="G231" s="1427"/>
      <c r="H231" s="1427"/>
      <c r="I231" s="1427"/>
      <c r="J231" s="1427"/>
      <c r="K231" s="1427"/>
      <c r="L231" s="1427"/>
      <c r="M231" s="1427"/>
      <c r="N231" s="1727"/>
    </row>
    <row r="232" spans="1:14" s="1450" customFormat="1" x14ac:dyDescent="0.2">
      <c r="A232" s="1734"/>
      <c r="B232" s="1427"/>
      <c r="C232" s="1430"/>
      <c r="D232" s="1427"/>
      <c r="E232" s="1427"/>
      <c r="F232" s="1427"/>
      <c r="G232" s="1427"/>
      <c r="H232" s="1427"/>
      <c r="I232" s="1427"/>
      <c r="J232" s="1427"/>
      <c r="K232" s="1427"/>
      <c r="L232" s="1427"/>
      <c r="M232" s="1427"/>
      <c r="N232" s="1727"/>
    </row>
    <row r="233" spans="1:14" s="1450" customFormat="1" x14ac:dyDescent="0.2">
      <c r="A233" s="1734"/>
      <c r="B233" s="1427"/>
      <c r="C233" s="1430"/>
      <c r="D233" s="1427"/>
      <c r="E233" s="1427"/>
      <c r="F233" s="1427"/>
      <c r="G233" s="1427"/>
      <c r="H233" s="1427"/>
      <c r="I233" s="1427"/>
      <c r="J233" s="1427"/>
      <c r="K233" s="1427"/>
      <c r="L233" s="1427"/>
      <c r="M233" s="1427"/>
      <c r="N233" s="1735"/>
    </row>
    <row r="234" spans="1:14" s="1450" customFormat="1" x14ac:dyDescent="0.2">
      <c r="A234" s="1734"/>
      <c r="B234" s="1427"/>
      <c r="C234" s="1430"/>
      <c r="D234" s="1427"/>
      <c r="E234" s="1427"/>
      <c r="F234" s="1427"/>
      <c r="G234" s="1427"/>
      <c r="H234" s="1427"/>
      <c r="I234" s="1427"/>
      <c r="J234" s="1427"/>
      <c r="K234" s="1427"/>
      <c r="L234" s="1427"/>
      <c r="M234" s="1427"/>
      <c r="N234" s="1735"/>
    </row>
    <row r="235" spans="1:14" s="1450" customFormat="1" ht="21.75" customHeight="1" x14ac:dyDescent="0.2">
      <c r="A235" s="1734"/>
      <c r="B235" s="1427"/>
      <c r="C235" s="1430"/>
      <c r="D235" s="1427"/>
      <c r="E235" s="1427"/>
      <c r="F235" s="1427"/>
      <c r="G235" s="1427"/>
      <c r="H235" s="1427"/>
      <c r="I235" s="1427"/>
      <c r="J235" s="1427"/>
      <c r="K235" s="1427"/>
      <c r="L235" s="1427"/>
      <c r="M235" s="1427"/>
      <c r="N235" s="1735"/>
    </row>
    <row r="236" spans="1:14" s="1450" customFormat="1" ht="12.75" customHeight="1" x14ac:dyDescent="0.2">
      <c r="A236" s="1734"/>
      <c r="B236" s="1427"/>
      <c r="C236" s="1430"/>
      <c r="D236" s="1427"/>
      <c r="E236" s="1427"/>
      <c r="F236" s="1427"/>
      <c r="G236" s="1427"/>
      <c r="H236" s="1427"/>
      <c r="I236" s="1427"/>
      <c r="J236" s="1427"/>
      <c r="K236" s="1427"/>
      <c r="L236" s="1427"/>
      <c r="M236" s="1427"/>
      <c r="N236" s="1735"/>
    </row>
    <row r="237" spans="1:14" s="1450" customFormat="1" ht="12.75" customHeight="1" x14ac:dyDescent="0.2">
      <c r="A237" s="1734"/>
      <c r="B237" s="1427"/>
      <c r="C237" s="1430"/>
      <c r="D237" s="1427"/>
      <c r="E237" s="1427"/>
      <c r="F237" s="1427"/>
      <c r="G237" s="1427"/>
      <c r="H237" s="1427"/>
      <c r="I237" s="1427"/>
      <c r="J237" s="1427"/>
      <c r="K237" s="1427"/>
      <c r="L237" s="1427"/>
      <c r="M237" s="1427"/>
      <c r="N237" s="1735"/>
    </row>
    <row r="238" spans="1:14" s="1450" customFormat="1" ht="13.5" thickBot="1" x14ac:dyDescent="0.25">
      <c r="A238" s="1732"/>
      <c r="B238" s="1427"/>
      <c r="C238" s="1430"/>
      <c r="D238" s="1427"/>
      <c r="E238" s="1427"/>
      <c r="F238" s="1427"/>
      <c r="G238" s="1427"/>
      <c r="H238" s="1427"/>
      <c r="I238" s="1427"/>
      <c r="J238" s="1427"/>
      <c r="K238" s="1427"/>
      <c r="L238" s="1427"/>
      <c r="M238" s="1427"/>
      <c r="N238" s="1735"/>
    </row>
    <row r="239" spans="1:14" s="1450" customFormat="1" x14ac:dyDescent="0.2">
      <c r="A239" s="1424"/>
      <c r="B239" s="1427"/>
      <c r="C239" s="1430"/>
      <c r="D239" s="1427"/>
      <c r="E239" s="1427"/>
      <c r="F239" s="1427"/>
      <c r="G239" s="1427"/>
      <c r="H239" s="1427"/>
      <c r="I239" s="1427"/>
      <c r="J239" s="1427"/>
      <c r="K239" s="1427"/>
      <c r="L239" s="1427"/>
      <c r="M239" s="1427"/>
      <c r="N239" s="1735"/>
    </row>
    <row r="240" spans="1:14" s="1450" customFormat="1" x14ac:dyDescent="0.2">
      <c r="A240" s="1424"/>
      <c r="B240" s="1427"/>
      <c r="C240" s="1430"/>
      <c r="D240" s="1427"/>
      <c r="E240" s="1427"/>
      <c r="F240" s="1427"/>
      <c r="G240" s="1427"/>
      <c r="H240" s="1427"/>
      <c r="I240" s="1427"/>
      <c r="J240" s="1427"/>
      <c r="K240" s="1427"/>
      <c r="L240" s="1427"/>
      <c r="M240" s="1427"/>
      <c r="N240" s="1735"/>
    </row>
    <row r="241" spans="1:14" s="1450" customFormat="1" x14ac:dyDescent="0.2">
      <c r="A241" s="1424"/>
      <c r="B241" s="1427"/>
      <c r="C241" s="1430"/>
      <c r="D241" s="1427"/>
      <c r="E241" s="1427"/>
      <c r="F241" s="1427"/>
      <c r="G241" s="1427"/>
      <c r="H241" s="1427"/>
      <c r="I241" s="1427"/>
      <c r="J241" s="1427"/>
      <c r="K241" s="1427"/>
      <c r="L241" s="1427"/>
      <c r="M241" s="1427"/>
      <c r="N241" s="1735"/>
    </row>
    <row r="242" spans="1:14" s="1728" customFormat="1" ht="35.25" customHeight="1" x14ac:dyDescent="0.2">
      <c r="A242" s="1424"/>
      <c r="B242" s="1427"/>
      <c r="C242" s="1430"/>
      <c r="D242" s="1427"/>
      <c r="E242" s="1427"/>
      <c r="F242" s="1427"/>
      <c r="G242" s="1427"/>
      <c r="H242" s="1427"/>
      <c r="I242" s="1427"/>
      <c r="J242" s="1427"/>
      <c r="K242" s="1427"/>
      <c r="L242" s="1427"/>
      <c r="M242" s="1427"/>
      <c r="N242" s="1735"/>
    </row>
    <row r="243" spans="1:14" s="1450" customFormat="1" ht="11.25" customHeight="1" x14ac:dyDescent="0.2">
      <c r="A243" s="1424"/>
      <c r="B243" s="1427"/>
      <c r="C243" s="1430"/>
      <c r="D243" s="1427"/>
      <c r="E243" s="1427"/>
      <c r="F243" s="1427"/>
      <c r="G243" s="1427"/>
      <c r="H243" s="1427"/>
      <c r="I243" s="1427"/>
      <c r="J243" s="1427"/>
      <c r="K243" s="1427"/>
      <c r="L243" s="1427"/>
      <c r="M243" s="1427"/>
      <c r="N243" s="1735"/>
    </row>
    <row r="244" spans="1:14" s="1450" customFormat="1" ht="12.75" customHeight="1" x14ac:dyDescent="0.2">
      <c r="A244" s="1424"/>
      <c r="B244" s="1427"/>
      <c r="C244" s="1430"/>
      <c r="D244" s="1427"/>
      <c r="E244" s="1427"/>
      <c r="F244" s="1427"/>
      <c r="G244" s="1427"/>
      <c r="H244" s="1427"/>
      <c r="I244" s="1427"/>
      <c r="J244" s="1427"/>
      <c r="K244" s="1427"/>
      <c r="L244" s="1427"/>
      <c r="M244" s="1427"/>
      <c r="N244" s="1735"/>
    </row>
    <row r="245" spans="1:14" s="1728" customFormat="1" ht="14.25" customHeight="1" x14ac:dyDescent="0.2">
      <c r="A245" s="1424"/>
      <c r="B245" s="1427"/>
      <c r="C245" s="1430"/>
      <c r="D245" s="1427"/>
      <c r="E245" s="1427"/>
      <c r="F245" s="1427"/>
      <c r="G245" s="1427"/>
      <c r="H245" s="1427"/>
      <c r="I245" s="1427"/>
      <c r="J245" s="1427"/>
      <c r="K245" s="1427"/>
      <c r="L245" s="1427"/>
      <c r="M245" s="1427"/>
      <c r="N245" s="1735"/>
    </row>
    <row r="246" spans="1:14" s="1450" customFormat="1" ht="11.25" customHeight="1" x14ac:dyDescent="0.2">
      <c r="A246" s="1424"/>
      <c r="B246" s="1427"/>
      <c r="C246" s="1430"/>
      <c r="D246" s="1427"/>
      <c r="E246" s="1427"/>
      <c r="F246" s="1427"/>
      <c r="G246" s="1427"/>
      <c r="H246" s="1427"/>
      <c r="I246" s="1427"/>
      <c r="J246" s="1427"/>
      <c r="K246" s="1427"/>
      <c r="L246" s="1427"/>
      <c r="M246" s="1427"/>
      <c r="N246" s="1735"/>
    </row>
    <row r="247" spans="1:14" s="1450" customFormat="1" ht="12.75" customHeight="1" x14ac:dyDescent="0.2">
      <c r="A247" s="1424"/>
      <c r="B247" s="1427"/>
      <c r="C247" s="1430"/>
      <c r="D247" s="1427"/>
      <c r="E247" s="1427"/>
      <c r="F247" s="1427"/>
      <c r="G247" s="1427"/>
      <c r="H247" s="1427"/>
      <c r="I247" s="1427"/>
      <c r="J247" s="1427"/>
      <c r="K247" s="1427"/>
      <c r="L247" s="1427"/>
      <c r="M247" s="1427"/>
      <c r="N247" s="1735"/>
    </row>
    <row r="248" spans="1:14" s="1728" customFormat="1" ht="23.25" customHeight="1" x14ac:dyDescent="0.2">
      <c r="A248" s="1424"/>
      <c r="B248" s="1427"/>
      <c r="C248" s="1430"/>
      <c r="D248" s="1427"/>
      <c r="E248" s="1427"/>
      <c r="F248" s="1427"/>
      <c r="G248" s="1427"/>
      <c r="H248" s="1427"/>
      <c r="I248" s="1427"/>
      <c r="J248" s="1427"/>
      <c r="K248" s="1427"/>
      <c r="L248" s="1427"/>
      <c r="M248" s="1427"/>
      <c r="N248" s="1735"/>
    </row>
    <row r="249" spans="1:14" s="1450" customFormat="1" ht="11.25" customHeight="1" x14ac:dyDescent="0.2">
      <c r="A249" s="1424"/>
      <c r="B249" s="1427"/>
      <c r="C249" s="1430"/>
      <c r="D249" s="1427"/>
      <c r="E249" s="1427"/>
      <c r="F249" s="1427"/>
      <c r="G249" s="1427"/>
      <c r="H249" s="1427"/>
      <c r="I249" s="1427"/>
      <c r="J249" s="1427"/>
      <c r="K249" s="1427"/>
      <c r="L249" s="1427"/>
      <c r="M249" s="1427"/>
      <c r="N249" s="1735"/>
    </row>
    <row r="250" spans="1:14" s="1450" customFormat="1" x14ac:dyDescent="0.2">
      <c r="A250" s="1424"/>
      <c r="B250" s="1427"/>
      <c r="C250" s="1430"/>
      <c r="D250" s="1427"/>
      <c r="E250" s="1427"/>
      <c r="F250" s="1427"/>
      <c r="G250" s="1427"/>
      <c r="H250" s="1427"/>
      <c r="I250" s="1427"/>
      <c r="J250" s="1427"/>
      <c r="K250" s="1427"/>
      <c r="L250" s="1427"/>
      <c r="M250" s="1427"/>
      <c r="N250" s="1735"/>
    </row>
    <row r="251" spans="1:14" s="1450" customFormat="1" x14ac:dyDescent="0.2">
      <c r="A251" s="1424"/>
      <c r="B251" s="1427"/>
      <c r="C251" s="1430"/>
      <c r="D251" s="1427"/>
      <c r="E251" s="1427"/>
      <c r="F251" s="1427"/>
      <c r="G251" s="1427"/>
      <c r="H251" s="1427"/>
      <c r="I251" s="1427"/>
      <c r="J251" s="1427"/>
      <c r="K251" s="1427"/>
      <c r="L251" s="1427"/>
      <c r="M251" s="1427"/>
      <c r="N251" s="1735"/>
    </row>
    <row r="252" spans="1:14" s="1728" customFormat="1" ht="23.25" customHeight="1" x14ac:dyDescent="0.2">
      <c r="A252" s="1424"/>
      <c r="B252" s="1427"/>
      <c r="C252" s="1430"/>
      <c r="D252" s="1427"/>
      <c r="E252" s="1427"/>
      <c r="F252" s="1427"/>
      <c r="G252" s="1427"/>
      <c r="H252" s="1427"/>
      <c r="I252" s="1427"/>
      <c r="J252" s="1427"/>
      <c r="K252" s="1427"/>
      <c r="L252" s="1427"/>
      <c r="M252" s="1427"/>
      <c r="N252" s="1735"/>
    </row>
    <row r="253" spans="1:14" s="1450" customFormat="1" ht="11.25" customHeight="1" x14ac:dyDescent="0.2">
      <c r="A253" s="1424"/>
      <c r="B253" s="1427"/>
      <c r="C253" s="1430"/>
      <c r="D253" s="1427"/>
      <c r="E253" s="1427"/>
      <c r="F253" s="1427"/>
      <c r="G253" s="1427"/>
      <c r="H253" s="1427"/>
      <c r="I253" s="1427"/>
      <c r="J253" s="1427"/>
      <c r="K253" s="1427"/>
      <c r="L253" s="1427"/>
      <c r="M253" s="1427"/>
      <c r="N253" s="1735"/>
    </row>
    <row r="254" spans="1:14" s="1450" customFormat="1" x14ac:dyDescent="0.2">
      <c r="A254" s="1424"/>
      <c r="B254" s="1427"/>
      <c r="C254" s="1430"/>
      <c r="D254" s="1427"/>
      <c r="E254" s="1427"/>
      <c r="F254" s="1427"/>
      <c r="G254" s="1427"/>
      <c r="H254" s="1427"/>
      <c r="I254" s="1427"/>
      <c r="J254" s="1427"/>
      <c r="K254" s="1427"/>
      <c r="L254" s="1427"/>
      <c r="M254" s="1427"/>
      <c r="N254" s="1735"/>
    </row>
    <row r="255" spans="1:14" x14ac:dyDescent="0.2">
      <c r="A255" s="1424"/>
      <c r="B255" s="1427"/>
      <c r="C255" s="1430"/>
      <c r="D255" s="1427"/>
      <c r="E255" s="1427"/>
      <c r="F255" s="1427"/>
      <c r="G255" s="1427"/>
      <c r="H255" s="1427"/>
      <c r="N255" s="1735"/>
    </row>
    <row r="256" spans="1:14" x14ac:dyDescent="0.2">
      <c r="A256" s="1424"/>
      <c r="B256" s="1427"/>
      <c r="C256" s="1430"/>
      <c r="D256" s="1427"/>
      <c r="E256" s="1427"/>
      <c r="F256" s="1427"/>
      <c r="G256" s="1427"/>
      <c r="H256" s="1427"/>
      <c r="N256" s="1735"/>
    </row>
    <row r="257" spans="1:14" x14ac:dyDescent="0.2">
      <c r="A257" s="1424"/>
      <c r="B257" s="1427"/>
      <c r="C257" s="1430"/>
      <c r="D257" s="1427"/>
      <c r="E257" s="1427"/>
      <c r="F257" s="1427"/>
      <c r="G257" s="1427"/>
      <c r="H257" s="1427"/>
      <c r="N257" s="1735"/>
    </row>
    <row r="258" spans="1:14" x14ac:dyDescent="0.2">
      <c r="A258" s="1424"/>
      <c r="B258" s="1427"/>
      <c r="C258" s="1430"/>
      <c r="D258" s="1427"/>
      <c r="E258" s="1427"/>
      <c r="F258" s="1427"/>
      <c r="G258" s="1427"/>
      <c r="H258" s="1427"/>
      <c r="N258" s="1735"/>
    </row>
    <row r="259" spans="1:14" ht="13.5" thickBot="1" x14ac:dyDescent="0.25">
      <c r="A259" s="1424"/>
      <c r="B259" s="1427"/>
      <c r="C259" s="1430"/>
      <c r="D259" s="1427"/>
      <c r="E259" s="1427"/>
      <c r="F259" s="1427"/>
      <c r="G259" s="1427"/>
      <c r="H259" s="1427"/>
      <c r="N259" s="1735"/>
    </row>
    <row r="260" spans="1:14" x14ac:dyDescent="0.2">
      <c r="A260" s="1733"/>
      <c r="B260" s="1427"/>
      <c r="C260" s="1430"/>
      <c r="D260" s="1427"/>
      <c r="E260" s="1427"/>
      <c r="F260" s="1427"/>
      <c r="G260" s="1427"/>
      <c r="H260" s="1427"/>
      <c r="N260" s="1735"/>
    </row>
    <row r="261" spans="1:14" x14ac:dyDescent="0.2">
      <c r="A261" s="1734"/>
      <c r="B261" s="1427"/>
      <c r="C261" s="1430"/>
      <c r="D261" s="1427"/>
      <c r="E261" s="1427"/>
      <c r="F261" s="1427"/>
      <c r="G261" s="1427"/>
      <c r="H261" s="1427"/>
      <c r="N261" s="1735"/>
    </row>
    <row r="262" spans="1:14" x14ac:dyDescent="0.2">
      <c r="A262" s="1734"/>
      <c r="B262" s="1427"/>
      <c r="C262" s="1430"/>
      <c r="D262" s="1427"/>
      <c r="E262" s="1427"/>
      <c r="F262" s="1427"/>
      <c r="G262" s="1427"/>
      <c r="H262" s="1427"/>
      <c r="N262" s="1727"/>
    </row>
    <row r="263" spans="1:14" x14ac:dyDescent="0.2">
      <c r="A263" s="1734"/>
      <c r="B263" s="1427"/>
      <c r="C263" s="1430"/>
      <c r="D263" s="1427"/>
      <c r="E263" s="1427"/>
      <c r="F263" s="1427"/>
      <c r="G263" s="1427"/>
      <c r="H263" s="1427"/>
      <c r="N263" s="1727"/>
    </row>
    <row r="264" spans="1:14" x14ac:dyDescent="0.2">
      <c r="A264" s="1734"/>
      <c r="B264" s="1427"/>
      <c r="C264" s="1430"/>
      <c r="D264" s="1427"/>
      <c r="E264" s="1427"/>
      <c r="F264" s="1427"/>
      <c r="G264" s="1427"/>
      <c r="H264" s="1427"/>
      <c r="N264" s="1727"/>
    </row>
    <row r="265" spans="1:14" x14ac:dyDescent="0.2">
      <c r="A265" s="1734"/>
      <c r="B265" s="1427"/>
      <c r="C265" s="1430"/>
      <c r="D265" s="1427"/>
      <c r="E265" s="1427"/>
      <c r="F265" s="1427"/>
      <c r="G265" s="1427"/>
      <c r="H265" s="1427"/>
      <c r="N265" s="1727"/>
    </row>
    <row r="266" spans="1:14" x14ac:dyDescent="0.2">
      <c r="A266" s="1734"/>
      <c r="B266" s="1427"/>
      <c r="C266" s="1430"/>
      <c r="D266" s="1427"/>
      <c r="E266" s="1427"/>
      <c r="F266" s="1427"/>
      <c r="G266" s="1427"/>
      <c r="H266" s="1427"/>
      <c r="N266" s="1727"/>
    </row>
    <row r="267" spans="1:14" x14ac:dyDescent="0.2">
      <c r="A267" s="1734"/>
      <c r="B267" s="1427"/>
      <c r="C267" s="1430"/>
      <c r="D267" s="1427"/>
      <c r="E267" s="1427"/>
      <c r="F267" s="1427"/>
      <c r="G267" s="1427"/>
      <c r="H267" s="1427"/>
      <c r="N267" s="1727"/>
    </row>
    <row r="268" spans="1:14" ht="13.5" thickBot="1" x14ac:dyDescent="0.25">
      <c r="A268" s="1732"/>
      <c r="B268" s="1427"/>
      <c r="C268" s="1430"/>
      <c r="D268" s="1427"/>
      <c r="E268" s="1427"/>
      <c r="F268" s="1427"/>
      <c r="G268" s="1427"/>
      <c r="H268" s="1427"/>
      <c r="N268" s="1727"/>
    </row>
    <row r="269" spans="1:14" x14ac:dyDescent="0.2">
      <c r="A269" s="1733"/>
      <c r="B269" s="1427"/>
      <c r="C269" s="1430"/>
      <c r="D269" s="1427"/>
      <c r="E269" s="1427"/>
      <c r="F269" s="1427"/>
      <c r="G269" s="1427"/>
      <c r="H269" s="1427"/>
      <c r="N269" s="1727"/>
    </row>
    <row r="270" spans="1:14" x14ac:dyDescent="0.2">
      <c r="A270" s="1734"/>
      <c r="B270" s="1427"/>
      <c r="C270" s="1430"/>
      <c r="D270" s="1427"/>
      <c r="E270" s="1427"/>
      <c r="F270" s="1427"/>
      <c r="G270" s="1427"/>
      <c r="H270" s="1427"/>
      <c r="N270" s="1727"/>
    </row>
    <row r="271" spans="1:14" x14ac:dyDescent="0.2">
      <c r="A271" s="1734"/>
      <c r="B271" s="1427"/>
      <c r="C271" s="1430"/>
      <c r="D271" s="1427"/>
      <c r="E271" s="1427"/>
      <c r="F271" s="1427"/>
      <c r="G271" s="1427"/>
      <c r="H271" s="1427"/>
      <c r="N271" s="1727"/>
    </row>
    <row r="272" spans="1:14" x14ac:dyDescent="0.2">
      <c r="A272" s="1734"/>
      <c r="B272" s="1427"/>
      <c r="C272" s="1430"/>
      <c r="D272" s="1427"/>
      <c r="E272" s="1427"/>
      <c r="F272" s="1427"/>
      <c r="G272" s="1427"/>
      <c r="H272" s="1427"/>
      <c r="N272" s="1727"/>
    </row>
    <row r="273" spans="1:14" x14ac:dyDescent="0.2">
      <c r="A273" s="1734"/>
      <c r="B273" s="1427"/>
      <c r="C273" s="1430"/>
      <c r="D273" s="1427"/>
      <c r="E273" s="1427"/>
      <c r="F273" s="1427"/>
      <c r="G273" s="1427"/>
      <c r="H273" s="1427"/>
      <c r="N273" s="1727"/>
    </row>
    <row r="274" spans="1:14" x14ac:dyDescent="0.2">
      <c r="A274" s="1734"/>
      <c r="B274" s="1427"/>
      <c r="C274" s="1430"/>
      <c r="D274" s="1427"/>
      <c r="E274" s="1427"/>
      <c r="F274" s="1427"/>
      <c r="G274" s="1427"/>
      <c r="H274" s="1427"/>
      <c r="N274" s="1727"/>
    </row>
    <row r="275" spans="1:14" x14ac:dyDescent="0.2">
      <c r="A275" s="1734"/>
      <c r="B275" s="1427"/>
      <c r="C275" s="1430"/>
      <c r="D275" s="1427"/>
      <c r="E275" s="1427"/>
      <c r="F275" s="1427"/>
      <c r="G275" s="1427"/>
      <c r="H275" s="1427"/>
      <c r="N275" s="1727"/>
    </row>
    <row r="276" spans="1:14" x14ac:dyDescent="0.2">
      <c r="A276" s="1734"/>
      <c r="B276" s="1427"/>
      <c r="C276" s="1430"/>
      <c r="D276" s="1427"/>
      <c r="E276" s="1427"/>
      <c r="F276" s="1427"/>
      <c r="G276" s="1427"/>
      <c r="H276" s="1427"/>
      <c r="N276" s="1727"/>
    </row>
    <row r="277" spans="1:14" ht="13.5" thickBot="1" x14ac:dyDescent="0.25">
      <c r="A277" s="1732"/>
      <c r="B277" s="1427"/>
      <c r="C277" s="1430"/>
      <c r="D277" s="1427"/>
      <c r="E277" s="1427"/>
      <c r="F277" s="1427"/>
      <c r="G277" s="1427"/>
      <c r="H277" s="1427"/>
      <c r="N277" s="1727"/>
    </row>
    <row r="278" spans="1:14" x14ac:dyDescent="0.2">
      <c r="A278" s="1424"/>
      <c r="B278" s="1427"/>
      <c r="C278" s="1430"/>
      <c r="D278" s="1427"/>
      <c r="E278" s="1427"/>
      <c r="F278" s="1427"/>
      <c r="G278" s="1427"/>
      <c r="H278" s="1427"/>
      <c r="N278" s="1727"/>
    </row>
    <row r="279" spans="1:14" x14ac:dyDescent="0.2">
      <c r="A279" s="1424"/>
      <c r="B279" s="1427"/>
      <c r="C279" s="1430"/>
      <c r="D279" s="1427"/>
      <c r="E279" s="1427"/>
      <c r="F279" s="1427"/>
      <c r="G279" s="1427"/>
      <c r="H279" s="1427"/>
      <c r="N279" s="1727"/>
    </row>
    <row r="280" spans="1:14" x14ac:dyDescent="0.2">
      <c r="A280" s="1424"/>
      <c r="B280" s="1427"/>
      <c r="C280" s="1430"/>
      <c r="D280" s="1427"/>
      <c r="E280" s="1427"/>
      <c r="F280" s="1427"/>
      <c r="G280" s="1427"/>
      <c r="H280" s="1427"/>
      <c r="N280" s="1727"/>
    </row>
    <row r="281" spans="1:14" x14ac:dyDescent="0.2">
      <c r="A281" s="1424"/>
      <c r="B281" s="1427"/>
      <c r="C281" s="1430"/>
      <c r="D281" s="1427"/>
      <c r="E281" s="1427"/>
      <c r="F281" s="1427"/>
      <c r="G281" s="1427"/>
      <c r="H281" s="1427"/>
      <c r="N281" s="1727"/>
    </row>
    <row r="282" spans="1:14" x14ac:dyDescent="0.2">
      <c r="A282" s="1424"/>
      <c r="B282" s="1427"/>
      <c r="C282" s="1430"/>
      <c r="D282" s="1427"/>
      <c r="E282" s="1427"/>
      <c r="F282" s="1427"/>
      <c r="G282" s="1427"/>
      <c r="H282" s="1427"/>
      <c r="N282" s="1727"/>
    </row>
    <row r="283" spans="1:14" x14ac:dyDescent="0.2">
      <c r="A283" s="1424"/>
      <c r="B283" s="1427"/>
      <c r="C283" s="1430"/>
      <c r="D283" s="1427"/>
      <c r="E283" s="1427"/>
      <c r="F283" s="1427"/>
      <c r="G283" s="1427"/>
      <c r="H283" s="1427"/>
      <c r="N283" s="1727"/>
    </row>
    <row r="284" spans="1:14" x14ac:dyDescent="0.2">
      <c r="A284" s="1424"/>
      <c r="B284" s="1427"/>
      <c r="C284" s="1430"/>
      <c r="D284" s="1427"/>
      <c r="E284" s="1427"/>
      <c r="F284" s="1427"/>
      <c r="G284" s="1427"/>
      <c r="H284" s="1427"/>
      <c r="N284" s="1727"/>
    </row>
    <row r="285" spans="1:14" x14ac:dyDescent="0.2">
      <c r="A285" s="1424"/>
      <c r="B285" s="1427"/>
      <c r="C285" s="1430"/>
      <c r="D285" s="1427"/>
      <c r="E285" s="1427"/>
      <c r="F285" s="1427"/>
      <c r="G285" s="1427"/>
      <c r="H285" s="1427"/>
      <c r="N285" s="1727"/>
    </row>
    <row r="286" spans="1:14" x14ac:dyDescent="0.2">
      <c r="A286" s="1424"/>
      <c r="B286" s="1427"/>
      <c r="C286" s="1430"/>
      <c r="D286" s="1427"/>
      <c r="E286" s="1427"/>
      <c r="F286" s="1427"/>
      <c r="G286" s="1427"/>
      <c r="H286" s="1427"/>
      <c r="N286" s="1727"/>
    </row>
    <row r="287" spans="1:14" x14ac:dyDescent="0.2">
      <c r="A287" s="1424"/>
      <c r="B287" s="1427"/>
      <c r="C287" s="1430"/>
      <c r="D287" s="1427"/>
      <c r="E287" s="1427"/>
      <c r="F287" s="1427"/>
      <c r="G287" s="1427"/>
      <c r="H287" s="1427"/>
      <c r="N287" s="1727"/>
    </row>
    <row r="288" spans="1:14" x14ac:dyDescent="0.2">
      <c r="A288" s="1424"/>
      <c r="B288" s="1427"/>
      <c r="C288" s="1430"/>
      <c r="D288" s="1427"/>
      <c r="E288" s="1427"/>
      <c r="F288" s="1427"/>
      <c r="G288" s="1427"/>
      <c r="H288" s="1427"/>
      <c r="N288" s="1727"/>
    </row>
    <row r="289" spans="1:14" x14ac:dyDescent="0.2">
      <c r="A289" s="1424"/>
      <c r="B289" s="1427"/>
      <c r="C289" s="1430"/>
      <c r="D289" s="1427"/>
      <c r="E289" s="1427"/>
      <c r="F289" s="1427"/>
      <c r="G289" s="1427"/>
      <c r="H289" s="1427"/>
      <c r="N289" s="1727"/>
    </row>
    <row r="290" spans="1:14" x14ac:dyDescent="0.2">
      <c r="A290" s="1424"/>
      <c r="B290" s="1427"/>
      <c r="C290" s="1430"/>
      <c r="D290" s="1427"/>
      <c r="E290" s="1427"/>
      <c r="F290" s="1427"/>
      <c r="G290" s="1427"/>
      <c r="H290" s="1427"/>
      <c r="N290" s="1727"/>
    </row>
    <row r="291" spans="1:14" x14ac:dyDescent="0.2">
      <c r="A291" s="1424"/>
      <c r="B291" s="1427"/>
      <c r="C291" s="1430"/>
      <c r="D291" s="1427"/>
      <c r="E291" s="1427"/>
      <c r="F291" s="1427"/>
      <c r="G291" s="1427"/>
      <c r="H291" s="1427"/>
      <c r="N291" s="1727"/>
    </row>
    <row r="292" spans="1:14" x14ac:dyDescent="0.2">
      <c r="A292" s="1424"/>
      <c r="B292" s="1427"/>
      <c r="C292" s="1430"/>
      <c r="D292" s="1427"/>
      <c r="E292" s="1427"/>
      <c r="F292" s="1427"/>
      <c r="G292" s="1427"/>
      <c r="H292" s="1427"/>
      <c r="N292" s="1727"/>
    </row>
    <row r="293" spans="1:14" x14ac:dyDescent="0.2">
      <c r="A293" s="1424"/>
      <c r="B293" s="1427"/>
      <c r="C293" s="1430"/>
      <c r="D293" s="1427"/>
      <c r="E293" s="1427"/>
      <c r="F293" s="1427"/>
      <c r="G293" s="1427"/>
      <c r="H293" s="1427"/>
      <c r="N293" s="1727"/>
    </row>
    <row r="294" spans="1:14" x14ac:dyDescent="0.2">
      <c r="A294" s="1424"/>
      <c r="B294" s="1427"/>
      <c r="C294" s="1430"/>
      <c r="D294" s="1427"/>
      <c r="E294" s="1427"/>
      <c r="F294" s="1427"/>
      <c r="G294" s="1427"/>
      <c r="H294" s="1427"/>
      <c r="N294" s="1727"/>
    </row>
    <row r="295" spans="1:14" ht="13.5" thickBot="1" x14ac:dyDescent="0.25">
      <c r="A295" s="1424"/>
      <c r="B295" s="1427"/>
      <c r="C295" s="1430"/>
      <c r="D295" s="1427"/>
      <c r="E295" s="1427"/>
      <c r="F295" s="1427"/>
      <c r="G295" s="1427"/>
      <c r="H295" s="1427"/>
      <c r="N295" s="1727"/>
    </row>
    <row r="296" spans="1:14" x14ac:dyDescent="0.2">
      <c r="A296" s="1733"/>
      <c r="B296" s="1427"/>
      <c r="C296" s="1430"/>
      <c r="D296" s="1427"/>
      <c r="E296" s="1427"/>
      <c r="F296" s="1427"/>
      <c r="G296" s="1427"/>
      <c r="H296" s="1427"/>
      <c r="N296" s="1727"/>
    </row>
    <row r="297" spans="1:14" x14ac:dyDescent="0.2">
      <c r="A297" s="1734"/>
      <c r="B297" s="1427"/>
      <c r="C297" s="1430"/>
      <c r="D297" s="1427"/>
      <c r="E297" s="1427"/>
      <c r="F297" s="1427"/>
      <c r="G297" s="1427"/>
      <c r="H297" s="1427"/>
      <c r="N297" s="1727"/>
    </row>
    <row r="298" spans="1:14" x14ac:dyDescent="0.2">
      <c r="A298" s="1734"/>
      <c r="B298" s="1427"/>
      <c r="C298" s="1430"/>
      <c r="D298" s="1427"/>
      <c r="E298" s="1427"/>
      <c r="F298" s="1427"/>
      <c r="G298" s="1427"/>
      <c r="H298" s="1427"/>
      <c r="N298" s="1727"/>
    </row>
    <row r="299" spans="1:14" x14ac:dyDescent="0.2">
      <c r="A299" s="1734"/>
      <c r="B299" s="1427"/>
      <c r="C299" s="1430"/>
      <c r="D299" s="1427"/>
      <c r="E299" s="1427"/>
      <c r="F299" s="1427"/>
      <c r="G299" s="1427"/>
      <c r="H299" s="1427"/>
      <c r="N299" s="1727"/>
    </row>
    <row r="300" spans="1:14" x14ac:dyDescent="0.2">
      <c r="A300" s="1734"/>
      <c r="B300" s="1427"/>
      <c r="C300" s="1430"/>
      <c r="D300" s="1427"/>
      <c r="E300" s="1427"/>
      <c r="F300" s="1427"/>
      <c r="G300" s="1427"/>
      <c r="H300" s="1427"/>
      <c r="N300" s="1727"/>
    </row>
    <row r="301" spans="1:14" x14ac:dyDescent="0.2">
      <c r="A301" s="1734"/>
      <c r="B301" s="1427"/>
      <c r="C301" s="1430"/>
      <c r="D301" s="1427"/>
      <c r="E301" s="1427"/>
      <c r="F301" s="1427"/>
      <c r="G301" s="1427"/>
      <c r="H301" s="1427"/>
      <c r="N301" s="1727"/>
    </row>
    <row r="302" spans="1:14" x14ac:dyDescent="0.2">
      <c r="A302" s="1734"/>
      <c r="B302" s="1427"/>
      <c r="C302" s="1430"/>
      <c r="D302" s="1427"/>
      <c r="E302" s="1427"/>
      <c r="F302" s="1427"/>
      <c r="G302" s="1427"/>
      <c r="H302" s="1427"/>
      <c r="N302" s="1727"/>
    </row>
    <row r="303" spans="1:14" x14ac:dyDescent="0.2">
      <c r="A303" s="1734"/>
      <c r="B303" s="1427"/>
      <c r="C303" s="1430"/>
      <c r="D303" s="1427"/>
      <c r="E303" s="1427"/>
      <c r="F303" s="1427"/>
      <c r="G303" s="1427"/>
      <c r="H303" s="1427"/>
      <c r="N303" s="1727"/>
    </row>
    <row r="304" spans="1:14" ht="13.5" thickBot="1" x14ac:dyDescent="0.25">
      <c r="A304" s="1732"/>
      <c r="B304" s="1427"/>
      <c r="C304" s="1430"/>
      <c r="D304" s="1427"/>
      <c r="E304" s="1427"/>
      <c r="F304" s="1427"/>
      <c r="G304" s="1427"/>
      <c r="H304" s="1427"/>
      <c r="N304" s="1727"/>
    </row>
    <row r="305" spans="1:14" x14ac:dyDescent="0.2">
      <c r="A305" s="1733"/>
      <c r="B305" s="1427"/>
      <c r="C305" s="1430"/>
      <c r="D305" s="1427"/>
      <c r="E305" s="1427"/>
      <c r="F305" s="1427"/>
      <c r="G305" s="1427"/>
      <c r="H305" s="1427"/>
      <c r="N305" s="1727"/>
    </row>
    <row r="306" spans="1:14" x14ac:dyDescent="0.2">
      <c r="A306" s="1734"/>
      <c r="B306" s="1427"/>
      <c r="C306" s="1430"/>
      <c r="D306" s="1427"/>
      <c r="E306" s="1427"/>
      <c r="F306" s="1427"/>
      <c r="G306" s="1427"/>
      <c r="H306" s="1427"/>
      <c r="N306" s="1727"/>
    </row>
    <row r="307" spans="1:14" x14ac:dyDescent="0.2">
      <c r="A307" s="1734"/>
      <c r="B307" s="1427"/>
      <c r="C307" s="1430"/>
      <c r="D307" s="1427"/>
      <c r="E307" s="1427"/>
      <c r="F307" s="1427"/>
      <c r="G307" s="1427"/>
      <c r="H307" s="1427"/>
      <c r="N307" s="1727"/>
    </row>
    <row r="308" spans="1:14" x14ac:dyDescent="0.2">
      <c r="A308" s="1734"/>
      <c r="B308" s="1427"/>
      <c r="C308" s="1430"/>
      <c r="D308" s="1427"/>
      <c r="E308" s="1427"/>
      <c r="F308" s="1427"/>
      <c r="G308" s="1427"/>
      <c r="H308" s="1427"/>
      <c r="N308" s="1727"/>
    </row>
    <row r="309" spans="1:14" x14ac:dyDescent="0.2">
      <c r="A309" s="1734"/>
      <c r="B309" s="1427"/>
      <c r="C309" s="1430"/>
      <c r="D309" s="1427"/>
      <c r="E309" s="1427"/>
      <c r="F309" s="1427"/>
      <c r="G309" s="1427"/>
      <c r="H309" s="1427"/>
      <c r="N309" s="1727"/>
    </row>
    <row r="310" spans="1:14" x14ac:dyDescent="0.2">
      <c r="A310" s="1734"/>
      <c r="B310" s="1427"/>
      <c r="C310" s="1430"/>
      <c r="D310" s="1427"/>
      <c r="E310" s="1427"/>
      <c r="F310" s="1427"/>
      <c r="G310" s="1427"/>
      <c r="H310" s="1427"/>
      <c r="N310" s="1727"/>
    </row>
    <row r="311" spans="1:14" x14ac:dyDescent="0.2">
      <c r="A311" s="1734"/>
      <c r="B311" s="1427"/>
      <c r="C311" s="1430"/>
      <c r="D311" s="1427"/>
      <c r="E311" s="1427"/>
      <c r="F311" s="1427"/>
      <c r="G311" s="1427"/>
      <c r="H311" s="1427"/>
      <c r="N311" s="1727"/>
    </row>
    <row r="312" spans="1:14" x14ac:dyDescent="0.2">
      <c r="A312" s="1734"/>
      <c r="B312" s="1427"/>
      <c r="C312" s="1430"/>
      <c r="D312" s="1427"/>
      <c r="E312" s="1427"/>
      <c r="F312" s="1427"/>
      <c r="G312" s="1427"/>
      <c r="H312" s="1427"/>
      <c r="N312" s="1727"/>
    </row>
    <row r="313" spans="1:14" ht="13.5" thickBot="1" x14ac:dyDescent="0.25">
      <c r="A313" s="1732"/>
      <c r="B313" s="1427"/>
      <c r="C313" s="1430"/>
      <c r="D313" s="1427"/>
      <c r="E313" s="1427"/>
      <c r="F313" s="1427"/>
      <c r="G313" s="1427"/>
      <c r="H313" s="1427"/>
      <c r="N313" s="1727"/>
    </row>
    <row r="314" spans="1:14" x14ac:dyDescent="0.2">
      <c r="A314" s="1424"/>
      <c r="B314" s="1427"/>
      <c r="C314" s="1430"/>
      <c r="D314" s="1427"/>
      <c r="E314" s="1427"/>
      <c r="F314" s="1427"/>
      <c r="G314" s="1427"/>
      <c r="H314" s="1427"/>
      <c r="N314" s="1727"/>
    </row>
    <row r="315" spans="1:14" x14ac:dyDescent="0.2">
      <c r="A315" s="1424"/>
      <c r="B315" s="1427"/>
      <c r="C315" s="1430"/>
      <c r="D315" s="1427"/>
      <c r="E315" s="1427"/>
      <c r="F315" s="1427"/>
      <c r="G315" s="1427"/>
      <c r="H315" s="1427"/>
      <c r="N315" s="1727"/>
    </row>
    <row r="316" spans="1:14" x14ac:dyDescent="0.2">
      <c r="A316" s="1424"/>
      <c r="B316" s="1427"/>
      <c r="C316" s="1430"/>
      <c r="D316" s="1427"/>
      <c r="E316" s="1427"/>
      <c r="F316" s="1427"/>
      <c r="G316" s="1427"/>
      <c r="H316" s="1427"/>
      <c r="N316" s="1727"/>
    </row>
    <row r="317" spans="1:14" x14ac:dyDescent="0.2">
      <c r="A317" s="1424"/>
      <c r="B317" s="1427"/>
      <c r="C317" s="1430"/>
      <c r="D317" s="1427"/>
      <c r="E317" s="1427"/>
      <c r="F317" s="1427"/>
      <c r="G317" s="1427"/>
      <c r="H317" s="1427"/>
      <c r="N317" s="1727"/>
    </row>
    <row r="318" spans="1:14" x14ac:dyDescent="0.2">
      <c r="A318" s="1424"/>
      <c r="B318" s="1427"/>
      <c r="C318" s="1430"/>
      <c r="D318" s="1427"/>
      <c r="E318" s="1427"/>
      <c r="F318" s="1427"/>
      <c r="G318" s="1427"/>
      <c r="H318" s="1427"/>
      <c r="N318" s="1727"/>
    </row>
    <row r="319" spans="1:14" x14ac:dyDescent="0.2">
      <c r="A319" s="1424"/>
      <c r="B319" s="1427"/>
      <c r="C319" s="1430"/>
      <c r="D319" s="1427"/>
      <c r="E319" s="1427"/>
      <c r="F319" s="1427"/>
      <c r="G319" s="1427"/>
      <c r="H319" s="1427"/>
      <c r="N319" s="1727"/>
    </row>
    <row r="320" spans="1:14" x14ac:dyDescent="0.2">
      <c r="A320" s="1424"/>
      <c r="B320" s="1427"/>
      <c r="C320" s="1430"/>
      <c r="D320" s="1427"/>
      <c r="E320" s="1427"/>
      <c r="F320" s="1427"/>
      <c r="G320" s="1427"/>
      <c r="H320" s="1427"/>
      <c r="N320" s="1727"/>
    </row>
    <row r="321" spans="1:14" x14ac:dyDescent="0.2">
      <c r="A321" s="1424"/>
      <c r="B321" s="1427"/>
      <c r="C321" s="1430"/>
      <c r="D321" s="1427"/>
      <c r="E321" s="1427"/>
      <c r="F321" s="1427"/>
      <c r="G321" s="1427"/>
      <c r="H321" s="1427"/>
      <c r="N321" s="1727"/>
    </row>
    <row r="322" spans="1:14" x14ac:dyDescent="0.2">
      <c r="A322" s="1424"/>
      <c r="B322" s="1427"/>
      <c r="C322" s="1430"/>
      <c r="D322" s="1427"/>
      <c r="E322" s="1427"/>
      <c r="F322" s="1427"/>
      <c r="G322" s="1427"/>
      <c r="H322" s="1427"/>
      <c r="N322" s="1727"/>
    </row>
    <row r="323" spans="1:14" x14ac:dyDescent="0.2">
      <c r="A323" s="1424"/>
      <c r="B323" s="1427"/>
      <c r="C323" s="1430"/>
      <c r="D323" s="1427"/>
      <c r="E323" s="1427"/>
      <c r="F323" s="1427"/>
      <c r="G323" s="1427"/>
      <c r="H323" s="1427"/>
      <c r="N323" s="1727"/>
    </row>
    <row r="324" spans="1:14" x14ac:dyDescent="0.2">
      <c r="A324" s="1424"/>
      <c r="B324" s="1427"/>
      <c r="C324" s="1430"/>
      <c r="D324" s="1427"/>
      <c r="E324" s="1427"/>
      <c r="F324" s="1427"/>
      <c r="G324" s="1427"/>
      <c r="H324" s="1427"/>
      <c r="N324" s="1727"/>
    </row>
    <row r="325" spans="1:14" x14ac:dyDescent="0.2">
      <c r="A325" s="1424"/>
      <c r="B325" s="1427"/>
      <c r="C325" s="1430"/>
      <c r="D325" s="1427"/>
      <c r="E325" s="1427"/>
      <c r="F325" s="1427"/>
      <c r="G325" s="1427"/>
      <c r="H325" s="1427"/>
      <c r="N325" s="1727"/>
    </row>
    <row r="326" spans="1:14" x14ac:dyDescent="0.2">
      <c r="A326" s="1424"/>
      <c r="B326" s="1427"/>
      <c r="C326" s="1430"/>
      <c r="D326" s="1427"/>
      <c r="E326" s="1427"/>
      <c r="F326" s="1427"/>
      <c r="G326" s="1427"/>
      <c r="H326" s="1427"/>
      <c r="N326" s="1727"/>
    </row>
    <row r="327" spans="1:14" x14ac:dyDescent="0.2">
      <c r="A327" s="1424"/>
      <c r="B327" s="1427"/>
      <c r="C327" s="1430"/>
      <c r="D327" s="1427"/>
      <c r="E327" s="1427"/>
      <c r="F327" s="1427"/>
      <c r="G327" s="1427"/>
      <c r="H327" s="1427"/>
      <c r="N327" s="1727"/>
    </row>
    <row r="328" spans="1:14" x14ac:dyDescent="0.2">
      <c r="A328" s="1424"/>
      <c r="B328" s="1427"/>
      <c r="C328" s="1430"/>
      <c r="D328" s="1427"/>
      <c r="E328" s="1427"/>
      <c r="F328" s="1427"/>
      <c r="G328" s="1427"/>
      <c r="H328" s="1427"/>
      <c r="N328" s="1727"/>
    </row>
    <row r="329" spans="1:14" x14ac:dyDescent="0.2">
      <c r="A329" s="1424"/>
      <c r="B329" s="1427"/>
      <c r="C329" s="1430"/>
      <c r="D329" s="1427"/>
      <c r="E329" s="1427"/>
      <c r="F329" s="1427"/>
      <c r="G329" s="1427"/>
      <c r="H329" s="1427"/>
      <c r="N329" s="1727"/>
    </row>
    <row r="330" spans="1:14" x14ac:dyDescent="0.2">
      <c r="A330" s="1424"/>
      <c r="B330" s="1427"/>
      <c r="C330" s="1430"/>
      <c r="D330" s="1427"/>
      <c r="E330" s="1427"/>
      <c r="F330" s="1427"/>
      <c r="G330" s="1427"/>
      <c r="H330" s="1427"/>
      <c r="N330" s="1727"/>
    </row>
    <row r="331" spans="1:14" ht="13.5" thickBot="1" x14ac:dyDescent="0.25">
      <c r="A331" s="1424"/>
      <c r="B331" s="1427"/>
      <c r="C331" s="1430"/>
      <c r="D331" s="1427"/>
      <c r="E331" s="1427"/>
      <c r="F331" s="1427"/>
      <c r="G331" s="1427"/>
      <c r="H331" s="1427"/>
      <c r="N331" s="1727"/>
    </row>
    <row r="332" spans="1:14" x14ac:dyDescent="0.2">
      <c r="A332" s="1733"/>
      <c r="B332" s="1427"/>
      <c r="C332" s="1430"/>
      <c r="D332" s="1427"/>
      <c r="E332" s="1427"/>
      <c r="F332" s="1427"/>
      <c r="G332" s="1427"/>
      <c r="H332" s="1427"/>
      <c r="N332" s="1727"/>
    </row>
    <row r="333" spans="1:14" x14ac:dyDescent="0.2">
      <c r="A333" s="1734"/>
      <c r="B333" s="1427"/>
      <c r="C333" s="1430"/>
      <c r="D333" s="1427"/>
      <c r="E333" s="1427"/>
      <c r="F333" s="1427"/>
      <c r="G333" s="1427"/>
      <c r="H333" s="1427"/>
      <c r="N333" s="1727"/>
    </row>
    <row r="334" spans="1:14" x14ac:dyDescent="0.2">
      <c r="A334" s="1734"/>
      <c r="B334" s="1427"/>
      <c r="C334" s="1430"/>
      <c r="D334" s="1427"/>
      <c r="E334" s="1427"/>
      <c r="F334" s="1427"/>
      <c r="G334" s="1427"/>
      <c r="H334" s="1427"/>
      <c r="N334" s="1727"/>
    </row>
    <row r="335" spans="1:14" x14ac:dyDescent="0.2">
      <c r="A335" s="1734"/>
      <c r="B335" s="1427"/>
      <c r="C335" s="1430"/>
      <c r="D335" s="1427"/>
      <c r="E335" s="1427"/>
      <c r="F335" s="1427"/>
      <c r="G335" s="1427"/>
      <c r="H335" s="1427"/>
      <c r="N335" s="1727"/>
    </row>
    <row r="336" spans="1:14" x14ac:dyDescent="0.2">
      <c r="A336" s="1734"/>
      <c r="B336" s="1427"/>
      <c r="C336" s="1430"/>
      <c r="D336" s="1427"/>
      <c r="E336" s="1427"/>
      <c r="F336" s="1427"/>
      <c r="G336" s="1427"/>
      <c r="H336" s="1427"/>
      <c r="N336" s="1727"/>
    </row>
    <row r="337" spans="1:14" x14ac:dyDescent="0.2">
      <c r="A337" s="1734"/>
      <c r="B337" s="1427"/>
      <c r="C337" s="1430"/>
      <c r="D337" s="1427"/>
      <c r="E337" s="1427"/>
      <c r="F337" s="1427"/>
      <c r="G337" s="1427"/>
      <c r="H337" s="1427"/>
      <c r="N337" s="1727"/>
    </row>
    <row r="338" spans="1:14" x14ac:dyDescent="0.2">
      <c r="A338" s="1734"/>
      <c r="B338" s="1427"/>
      <c r="C338" s="1430"/>
      <c r="D338" s="1427"/>
      <c r="E338" s="1427"/>
      <c r="F338" s="1427"/>
      <c r="G338" s="1427"/>
      <c r="H338" s="1427"/>
      <c r="N338" s="1727"/>
    </row>
    <row r="339" spans="1:14" x14ac:dyDescent="0.2">
      <c r="A339" s="1734"/>
      <c r="B339" s="1427"/>
      <c r="C339" s="1430"/>
      <c r="D339" s="1427"/>
      <c r="E339" s="1427"/>
      <c r="F339" s="1427"/>
      <c r="G339" s="1427"/>
      <c r="H339" s="1427"/>
      <c r="N339" s="1727"/>
    </row>
    <row r="340" spans="1:14" ht="13.5" thickBot="1" x14ac:dyDescent="0.25">
      <c r="A340" s="1732"/>
      <c r="B340" s="1427"/>
      <c r="C340" s="1430"/>
      <c r="D340" s="1427"/>
      <c r="E340" s="1427"/>
      <c r="F340" s="1427"/>
      <c r="G340" s="1427"/>
      <c r="H340" s="1427"/>
      <c r="N340" s="1727"/>
    </row>
    <row r="341" spans="1:14" x14ac:dyDescent="0.2">
      <c r="A341" s="1733"/>
      <c r="B341" s="1427"/>
      <c r="C341" s="1430"/>
      <c r="D341" s="1427"/>
      <c r="E341" s="1427"/>
      <c r="F341" s="1427"/>
      <c r="G341" s="1427"/>
      <c r="H341" s="1427"/>
      <c r="N341" s="1727"/>
    </row>
    <row r="342" spans="1:14" x14ac:dyDescent="0.2">
      <c r="A342" s="1734"/>
      <c r="B342" s="1427"/>
      <c r="C342" s="1430"/>
      <c r="D342" s="1427"/>
      <c r="E342" s="1427"/>
      <c r="F342" s="1427"/>
      <c r="G342" s="1427"/>
      <c r="H342" s="1427"/>
      <c r="N342" s="1727"/>
    </row>
    <row r="343" spans="1:14" x14ac:dyDescent="0.2">
      <c r="A343" s="1734"/>
      <c r="B343" s="1427"/>
      <c r="C343" s="1430"/>
      <c r="D343" s="1427"/>
      <c r="E343" s="1427"/>
      <c r="F343" s="1427"/>
      <c r="G343" s="1427"/>
      <c r="H343" s="1427"/>
      <c r="N343" s="1727"/>
    </row>
    <row r="344" spans="1:14" x14ac:dyDescent="0.2">
      <c r="A344" s="1734"/>
      <c r="B344" s="1427"/>
      <c r="C344" s="1430"/>
      <c r="D344" s="1427"/>
      <c r="E344" s="1427"/>
      <c r="F344" s="1427"/>
      <c r="G344" s="1427"/>
      <c r="H344" s="1427"/>
      <c r="N344" s="1727"/>
    </row>
    <row r="345" spans="1:14" x14ac:dyDescent="0.2">
      <c r="A345" s="1734"/>
      <c r="B345" s="1427"/>
      <c r="C345" s="1430"/>
      <c r="D345" s="1427"/>
      <c r="E345" s="1427"/>
      <c r="F345" s="1427"/>
      <c r="G345" s="1427"/>
      <c r="H345" s="1427"/>
      <c r="N345" s="1727"/>
    </row>
    <row r="346" spans="1:14" x14ac:dyDescent="0.2">
      <c r="A346" s="1734"/>
      <c r="B346" s="1427"/>
      <c r="C346" s="1430"/>
      <c r="D346" s="1427"/>
      <c r="E346" s="1427"/>
      <c r="F346" s="1427"/>
      <c r="G346" s="1427"/>
      <c r="H346" s="1427"/>
      <c r="N346" s="1727"/>
    </row>
    <row r="347" spans="1:14" x14ac:dyDescent="0.2">
      <c r="A347" s="1734"/>
      <c r="B347" s="1427"/>
      <c r="C347" s="1430"/>
      <c r="D347" s="1427"/>
      <c r="E347" s="1427"/>
      <c r="F347" s="1427"/>
      <c r="G347" s="1427"/>
      <c r="H347" s="1427"/>
      <c r="N347" s="1727"/>
    </row>
    <row r="348" spans="1:14" x14ac:dyDescent="0.2">
      <c r="A348" s="1734"/>
      <c r="B348" s="1427"/>
      <c r="C348" s="1430"/>
      <c r="D348" s="1427"/>
      <c r="E348" s="1427"/>
      <c r="F348" s="1427"/>
      <c r="G348" s="1427"/>
      <c r="H348" s="1427"/>
      <c r="N348" s="1727"/>
    </row>
    <row r="349" spans="1:14" ht="13.5" thickBot="1" x14ac:dyDescent="0.25">
      <c r="A349" s="1732"/>
      <c r="B349" s="1427"/>
      <c r="C349" s="1430"/>
      <c r="D349" s="1427"/>
      <c r="E349" s="1427"/>
      <c r="F349" s="1427"/>
      <c r="G349" s="1427"/>
      <c r="H349" s="1427"/>
      <c r="N349" s="1727"/>
    </row>
    <row r="350" spans="1:14" x14ac:dyDescent="0.2">
      <c r="A350" s="1424"/>
      <c r="B350" s="1427"/>
      <c r="C350" s="1430"/>
      <c r="D350" s="1427"/>
      <c r="E350" s="1427"/>
      <c r="F350" s="1427"/>
      <c r="G350" s="1427"/>
      <c r="H350" s="1427"/>
      <c r="N350" s="1727"/>
    </row>
    <row r="351" spans="1:14" x14ac:dyDescent="0.2">
      <c r="A351" s="1424"/>
      <c r="B351" s="1427"/>
      <c r="C351" s="1430"/>
      <c r="D351" s="1427"/>
      <c r="E351" s="1427"/>
      <c r="F351" s="1427"/>
      <c r="G351" s="1427"/>
      <c r="H351" s="1427"/>
      <c r="N351" s="1727"/>
    </row>
    <row r="352" spans="1:14" x14ac:dyDescent="0.2">
      <c r="A352" s="1424"/>
      <c r="B352" s="1427"/>
      <c r="C352" s="1430"/>
      <c r="D352" s="1427"/>
      <c r="E352" s="1427"/>
      <c r="F352" s="1427"/>
      <c r="G352" s="1427"/>
      <c r="H352" s="1427"/>
      <c r="N352" s="1727"/>
    </row>
    <row r="353" spans="1:14" x14ac:dyDescent="0.2">
      <c r="A353" s="1424"/>
      <c r="B353" s="1427"/>
      <c r="C353" s="1430"/>
      <c r="D353" s="1427"/>
      <c r="E353" s="1427"/>
      <c r="F353" s="1427"/>
      <c r="G353" s="1427"/>
      <c r="H353" s="1427"/>
      <c r="N353" s="1727"/>
    </row>
    <row r="354" spans="1:14" x14ac:dyDescent="0.2">
      <c r="A354" s="1424"/>
      <c r="B354" s="1427"/>
      <c r="C354" s="1430"/>
      <c r="D354" s="1427"/>
      <c r="E354" s="1427"/>
      <c r="F354" s="1427"/>
      <c r="G354" s="1427"/>
      <c r="H354" s="1427"/>
      <c r="N354" s="1727"/>
    </row>
    <row r="355" spans="1:14" x14ac:dyDescent="0.2">
      <c r="A355" s="1424"/>
      <c r="B355" s="1427"/>
      <c r="C355" s="1430"/>
      <c r="D355" s="1427"/>
      <c r="E355" s="1427"/>
      <c r="F355" s="1427"/>
      <c r="G355" s="1427"/>
      <c r="H355" s="1427"/>
      <c r="N355" s="1727"/>
    </row>
    <row r="356" spans="1:14" x14ac:dyDescent="0.2">
      <c r="A356" s="1424"/>
      <c r="B356" s="1427"/>
      <c r="C356" s="1430"/>
      <c r="D356" s="1427"/>
      <c r="E356" s="1427"/>
      <c r="F356" s="1427"/>
      <c r="G356" s="1427"/>
      <c r="H356" s="1427"/>
      <c r="N356" s="1727"/>
    </row>
    <row r="357" spans="1:14" x14ac:dyDescent="0.2">
      <c r="A357" s="1424"/>
      <c r="B357" s="1427"/>
      <c r="C357" s="1430"/>
      <c r="D357" s="1427"/>
      <c r="E357" s="1427"/>
      <c r="F357" s="1427"/>
      <c r="G357" s="1427"/>
      <c r="H357" s="1427"/>
      <c r="N357" s="1727"/>
    </row>
    <row r="358" spans="1:14" x14ac:dyDescent="0.2">
      <c r="A358" s="1424"/>
      <c r="B358" s="1427"/>
      <c r="C358" s="1430"/>
      <c r="D358" s="1427"/>
      <c r="E358" s="1427"/>
      <c r="F358" s="1427"/>
      <c r="G358" s="1427"/>
      <c r="H358" s="1427"/>
      <c r="N358" s="1727"/>
    </row>
    <row r="359" spans="1:14" x14ac:dyDescent="0.2">
      <c r="A359" s="1424"/>
      <c r="B359" s="1427"/>
      <c r="C359" s="1430"/>
      <c r="D359" s="1427"/>
      <c r="E359" s="1427"/>
      <c r="F359" s="1427"/>
      <c r="G359" s="1427"/>
      <c r="H359" s="1427"/>
      <c r="N359" s="1727"/>
    </row>
    <row r="360" spans="1:14" x14ac:dyDescent="0.2">
      <c r="A360" s="1424"/>
      <c r="B360" s="1427"/>
      <c r="C360" s="1430"/>
      <c r="D360" s="1427"/>
      <c r="E360" s="1427"/>
      <c r="F360" s="1427"/>
      <c r="G360" s="1427"/>
      <c r="H360" s="1427"/>
      <c r="N360" s="1727"/>
    </row>
    <row r="361" spans="1:14" x14ac:dyDescent="0.2">
      <c r="A361" s="1424"/>
      <c r="B361" s="1427"/>
      <c r="C361" s="1430"/>
      <c r="D361" s="1427"/>
      <c r="E361" s="1427"/>
      <c r="F361" s="1427"/>
      <c r="G361" s="1427"/>
      <c r="H361" s="1427"/>
      <c r="N361" s="1727"/>
    </row>
    <row r="362" spans="1:14" x14ac:dyDescent="0.2">
      <c r="A362" s="1424"/>
      <c r="B362" s="1427"/>
      <c r="C362" s="1430"/>
      <c r="D362" s="1427"/>
      <c r="E362" s="1427"/>
      <c r="F362" s="1427"/>
      <c r="G362" s="1427"/>
      <c r="H362" s="1427"/>
      <c r="N362" s="1727"/>
    </row>
    <row r="363" spans="1:14" x14ac:dyDescent="0.2">
      <c r="A363" s="1424"/>
      <c r="B363" s="1427"/>
      <c r="C363" s="1430"/>
      <c r="D363" s="1427"/>
      <c r="E363" s="1427"/>
      <c r="F363" s="1427"/>
      <c r="G363" s="1427"/>
      <c r="H363" s="1427"/>
      <c r="N363" s="1727"/>
    </row>
    <row r="364" spans="1:14" x14ac:dyDescent="0.2">
      <c r="A364" s="1424"/>
      <c r="B364" s="1427"/>
      <c r="C364" s="1430"/>
      <c r="D364" s="1427"/>
      <c r="E364" s="1427"/>
      <c r="F364" s="1427"/>
      <c r="G364" s="1427"/>
      <c r="H364" s="1427"/>
      <c r="N364" s="1727"/>
    </row>
    <row r="365" spans="1:14" x14ac:dyDescent="0.2">
      <c r="A365" s="1424"/>
      <c r="B365" s="1427"/>
      <c r="C365" s="1430"/>
      <c r="D365" s="1427"/>
      <c r="E365" s="1427"/>
      <c r="F365" s="1427"/>
      <c r="G365" s="1427"/>
      <c r="H365" s="1427"/>
      <c r="N365" s="1727"/>
    </row>
    <row r="366" spans="1:14" x14ac:dyDescent="0.2">
      <c r="A366" s="1424"/>
      <c r="B366" s="1427"/>
      <c r="C366" s="1430"/>
      <c r="D366" s="1427"/>
      <c r="E366" s="1427"/>
      <c r="F366" s="1427"/>
      <c r="G366" s="1427"/>
      <c r="H366" s="1427"/>
      <c r="N366" s="1727"/>
    </row>
    <row r="367" spans="1:14" x14ac:dyDescent="0.2">
      <c r="A367" s="1424"/>
      <c r="B367" s="1427"/>
      <c r="C367" s="1430"/>
      <c r="D367" s="1427"/>
      <c r="E367" s="1427"/>
      <c r="F367" s="1427"/>
      <c r="G367" s="1427"/>
      <c r="H367" s="1427"/>
      <c r="N367" s="1727"/>
    </row>
    <row r="368" spans="1:14" ht="13.5" thickBot="1" x14ac:dyDescent="0.25">
      <c r="A368" s="1424"/>
      <c r="B368" s="1427"/>
      <c r="C368" s="1430"/>
      <c r="D368" s="1427"/>
      <c r="E368" s="1427"/>
      <c r="F368" s="1427"/>
      <c r="G368" s="1427"/>
      <c r="H368" s="1427"/>
      <c r="N368" s="1727"/>
    </row>
    <row r="369" spans="1:14" x14ac:dyDescent="0.2">
      <c r="A369" s="1733"/>
      <c r="B369" s="1427"/>
      <c r="C369" s="1430"/>
      <c r="D369" s="1427"/>
      <c r="E369" s="1427"/>
      <c r="F369" s="1427"/>
      <c r="G369" s="1427"/>
      <c r="H369" s="1427"/>
      <c r="N369" s="1727"/>
    </row>
    <row r="370" spans="1:14" x14ac:dyDescent="0.2">
      <c r="A370" s="1734"/>
      <c r="B370" s="1427"/>
      <c r="C370" s="1430"/>
      <c r="D370" s="1427"/>
      <c r="E370" s="1427"/>
      <c r="F370" s="1427"/>
      <c r="G370" s="1427"/>
      <c r="H370" s="1427"/>
      <c r="N370" s="1727"/>
    </row>
    <row r="371" spans="1:14" x14ac:dyDescent="0.2">
      <c r="A371" s="1734"/>
      <c r="B371" s="1427"/>
      <c r="C371" s="1430"/>
      <c r="D371" s="1427"/>
      <c r="E371" s="1427"/>
      <c r="F371" s="1427"/>
      <c r="G371" s="1427"/>
      <c r="H371" s="1427"/>
      <c r="N371" s="1727"/>
    </row>
    <row r="372" spans="1:14" x14ac:dyDescent="0.2">
      <c r="A372" s="1734"/>
      <c r="B372" s="1427"/>
      <c r="C372" s="1430"/>
      <c r="D372" s="1427"/>
      <c r="E372" s="1427"/>
      <c r="F372" s="1427"/>
      <c r="G372" s="1427"/>
      <c r="H372" s="1427"/>
      <c r="N372" s="1727"/>
    </row>
    <row r="373" spans="1:14" x14ac:dyDescent="0.2">
      <c r="A373" s="1734"/>
      <c r="B373" s="1427"/>
      <c r="C373" s="1430"/>
      <c r="D373" s="1427"/>
      <c r="E373" s="1427"/>
      <c r="F373" s="1427"/>
      <c r="G373" s="1427"/>
      <c r="H373" s="1427"/>
      <c r="N373" s="1727"/>
    </row>
    <row r="374" spans="1:14" x14ac:dyDescent="0.2">
      <c r="A374" s="1734"/>
      <c r="B374" s="1427"/>
      <c r="C374" s="1430"/>
      <c r="D374" s="1427"/>
      <c r="E374" s="1427"/>
      <c r="F374" s="1427"/>
      <c r="G374" s="1427"/>
      <c r="H374" s="1427"/>
      <c r="N374" s="1727"/>
    </row>
    <row r="375" spans="1:14" x14ac:dyDescent="0.2">
      <c r="A375" s="1734"/>
      <c r="B375" s="1427"/>
      <c r="C375" s="1430"/>
      <c r="D375" s="1427"/>
      <c r="E375" s="1427"/>
      <c r="F375" s="1427"/>
      <c r="G375" s="1427"/>
      <c r="H375" s="1427"/>
      <c r="N375" s="1727"/>
    </row>
    <row r="376" spans="1:14" x14ac:dyDescent="0.2">
      <c r="A376" s="1734"/>
      <c r="B376" s="1427"/>
      <c r="C376" s="1430"/>
      <c r="D376" s="1427"/>
      <c r="E376" s="1427"/>
      <c r="F376" s="1427"/>
      <c r="G376" s="1427"/>
      <c r="H376" s="1427"/>
      <c r="N376" s="1727"/>
    </row>
    <row r="377" spans="1:14" ht="13.5" thickBot="1" x14ac:dyDescent="0.25">
      <c r="A377" s="1732"/>
      <c r="B377" s="1427"/>
      <c r="C377" s="1430"/>
      <c r="D377" s="1427"/>
      <c r="E377" s="1427"/>
      <c r="F377" s="1427"/>
      <c r="G377" s="1427"/>
      <c r="H377" s="1427"/>
      <c r="N377" s="1727"/>
    </row>
    <row r="378" spans="1:14" x14ac:dyDescent="0.2">
      <c r="A378" s="1424"/>
      <c r="B378" s="1427"/>
      <c r="C378" s="1430"/>
      <c r="D378" s="1427"/>
      <c r="E378" s="1427"/>
      <c r="F378" s="1427"/>
      <c r="G378" s="1427"/>
      <c r="H378" s="1427"/>
      <c r="N378" s="1727"/>
    </row>
    <row r="379" spans="1:14" x14ac:dyDescent="0.2">
      <c r="A379" s="1424"/>
      <c r="B379" s="1427"/>
      <c r="C379" s="1430"/>
      <c r="D379" s="1427"/>
      <c r="E379" s="1427"/>
      <c r="F379" s="1427"/>
      <c r="G379" s="1427"/>
      <c r="H379" s="1427"/>
      <c r="N379" s="1727"/>
    </row>
    <row r="380" spans="1:14" x14ac:dyDescent="0.2">
      <c r="A380" s="1424"/>
      <c r="B380" s="1427"/>
      <c r="C380" s="1430"/>
      <c r="D380" s="1427"/>
      <c r="E380" s="1427"/>
      <c r="F380" s="1427"/>
      <c r="G380" s="1427"/>
      <c r="H380" s="1427"/>
      <c r="N380" s="1727"/>
    </row>
    <row r="381" spans="1:14" x14ac:dyDescent="0.2">
      <c r="A381" s="1424"/>
      <c r="B381" s="1427"/>
      <c r="C381" s="1430"/>
      <c r="D381" s="1427"/>
      <c r="E381" s="1427"/>
      <c r="F381" s="1427"/>
      <c r="G381" s="1427"/>
      <c r="H381" s="1427"/>
      <c r="N381" s="1727"/>
    </row>
    <row r="382" spans="1:14" x14ac:dyDescent="0.2">
      <c r="A382" s="1424"/>
      <c r="B382" s="1427"/>
      <c r="C382" s="1430"/>
      <c r="D382" s="1427"/>
      <c r="E382" s="1427"/>
      <c r="F382" s="1427"/>
      <c r="G382" s="1427"/>
      <c r="H382" s="1427"/>
      <c r="N382" s="1727"/>
    </row>
    <row r="383" spans="1:14" x14ac:dyDescent="0.2">
      <c r="A383" s="1424"/>
      <c r="B383" s="1427"/>
      <c r="C383" s="1430"/>
      <c r="D383" s="1427"/>
      <c r="E383" s="1427"/>
      <c r="F383" s="1427"/>
      <c r="G383" s="1427"/>
      <c r="H383" s="1427"/>
      <c r="N383" s="1727"/>
    </row>
    <row r="384" spans="1:14" x14ac:dyDescent="0.2">
      <c r="A384" s="1424"/>
      <c r="B384" s="1427"/>
      <c r="C384" s="1430"/>
      <c r="D384" s="1427"/>
      <c r="E384" s="1427"/>
      <c r="F384" s="1427"/>
      <c r="G384" s="1427"/>
      <c r="H384" s="1427"/>
      <c r="N384" s="1727"/>
    </row>
    <row r="385" spans="1:14" x14ac:dyDescent="0.2">
      <c r="A385" s="1424"/>
      <c r="B385" s="1427"/>
      <c r="C385" s="1430"/>
      <c r="D385" s="1427"/>
      <c r="E385" s="1427"/>
      <c r="F385" s="1427"/>
      <c r="G385" s="1427"/>
      <c r="H385" s="1427"/>
      <c r="N385" s="1727"/>
    </row>
    <row r="386" spans="1:14" ht="13.5" thickBot="1" x14ac:dyDescent="0.25">
      <c r="A386" s="1424"/>
      <c r="B386" s="1427"/>
      <c r="C386" s="1430"/>
      <c r="D386" s="1427"/>
      <c r="E386" s="1427"/>
      <c r="F386" s="1427"/>
      <c r="G386" s="1427"/>
      <c r="H386" s="1427"/>
      <c r="N386" s="1727"/>
    </row>
    <row r="387" spans="1:14" x14ac:dyDescent="0.2">
      <c r="A387" s="1733"/>
      <c r="B387" s="1736"/>
      <c r="C387" s="1737"/>
      <c r="D387" s="1736"/>
      <c r="E387" s="1736"/>
      <c r="F387" s="1736"/>
      <c r="G387" s="1736"/>
      <c r="H387" s="1736"/>
      <c r="I387" s="1736"/>
      <c r="J387" s="1736"/>
      <c r="K387" s="1736"/>
      <c r="L387" s="1736"/>
      <c r="M387" s="1736"/>
      <c r="N387" s="1738"/>
    </row>
    <row r="388" spans="1:14" x14ac:dyDescent="0.2">
      <c r="A388" s="1734"/>
      <c r="B388" s="1427"/>
      <c r="C388" s="1430"/>
      <c r="D388" s="1427"/>
      <c r="E388" s="1427"/>
      <c r="F388" s="1427"/>
      <c r="G388" s="1427"/>
      <c r="H388" s="1427"/>
      <c r="N388" s="1739"/>
    </row>
    <row r="389" spans="1:14" x14ac:dyDescent="0.2">
      <c r="A389" s="1734"/>
      <c r="B389" s="1427"/>
      <c r="C389" s="1430"/>
      <c r="D389" s="1427"/>
      <c r="E389" s="1427"/>
      <c r="F389" s="1427"/>
      <c r="G389" s="1427"/>
      <c r="H389" s="1427"/>
      <c r="N389" s="1739"/>
    </row>
    <row r="390" spans="1:14" x14ac:dyDescent="0.2">
      <c r="A390" s="1734"/>
      <c r="B390" s="1427"/>
      <c r="C390" s="1430"/>
      <c r="D390" s="1427"/>
      <c r="E390" s="1427"/>
      <c r="F390" s="1427"/>
      <c r="G390" s="1427"/>
      <c r="H390" s="1427"/>
      <c r="N390" s="1739"/>
    </row>
    <row r="391" spans="1:14" x14ac:dyDescent="0.2">
      <c r="A391" s="1734"/>
      <c r="B391" s="1427"/>
      <c r="C391" s="1430"/>
      <c r="D391" s="1427"/>
      <c r="E391" s="1427"/>
      <c r="F391" s="1427"/>
      <c r="G391" s="1427"/>
      <c r="H391" s="1427"/>
      <c r="N391" s="1739"/>
    </row>
    <row r="392" spans="1:14" x14ac:dyDescent="0.2">
      <c r="A392" s="1734"/>
      <c r="B392" s="1427"/>
      <c r="C392" s="1430"/>
      <c r="D392" s="1427"/>
      <c r="E392" s="1427"/>
      <c r="F392" s="1427"/>
      <c r="G392" s="1427"/>
      <c r="H392" s="1427"/>
      <c r="N392" s="1739"/>
    </row>
    <row r="393" spans="1:14" x14ac:dyDescent="0.2">
      <c r="A393" s="1734"/>
      <c r="B393" s="1427"/>
      <c r="C393" s="1430"/>
      <c r="D393" s="1427"/>
      <c r="E393" s="1427"/>
      <c r="F393" s="1427"/>
      <c r="G393" s="1427"/>
      <c r="H393" s="1427"/>
      <c r="N393" s="1739"/>
    </row>
    <row r="394" spans="1:14" x14ac:dyDescent="0.2">
      <c r="A394" s="1734"/>
      <c r="B394" s="1427"/>
      <c r="C394" s="1430"/>
      <c r="D394" s="1427"/>
      <c r="E394" s="1427"/>
      <c r="F394" s="1427"/>
      <c r="G394" s="1427"/>
      <c r="H394" s="1427"/>
      <c r="N394" s="1739"/>
    </row>
    <row r="395" spans="1:14" ht="13.5" thickBot="1" x14ac:dyDescent="0.25">
      <c r="A395" s="1732"/>
      <c r="B395" s="1740"/>
      <c r="C395" s="1741"/>
      <c r="D395" s="1740"/>
      <c r="E395" s="1740"/>
      <c r="F395" s="1740"/>
      <c r="G395" s="1740"/>
      <c r="H395" s="1740"/>
      <c r="I395" s="1740"/>
      <c r="J395" s="1740"/>
      <c r="K395" s="1740"/>
      <c r="L395" s="1740"/>
      <c r="M395" s="1740"/>
      <c r="N395" s="1742"/>
    </row>
    <row r="396" spans="1:14" x14ac:dyDescent="0.2">
      <c r="A396" s="1424"/>
      <c r="B396" s="1427"/>
      <c r="C396" s="1430"/>
      <c r="D396" s="1427"/>
      <c r="E396" s="1427"/>
      <c r="F396" s="1427"/>
      <c r="G396" s="1427"/>
      <c r="H396" s="1427"/>
      <c r="N396" s="1727"/>
    </row>
    <row r="397" spans="1:14" x14ac:dyDescent="0.2">
      <c r="A397" s="1424"/>
      <c r="B397" s="1427"/>
      <c r="C397" s="1430"/>
      <c r="D397" s="1427"/>
      <c r="E397" s="1427"/>
      <c r="F397" s="1427"/>
      <c r="G397" s="1427"/>
      <c r="H397" s="1427"/>
      <c r="N397" s="1727"/>
    </row>
    <row r="398" spans="1:14" x14ac:dyDescent="0.2">
      <c r="A398" s="1424"/>
      <c r="B398" s="1427"/>
      <c r="C398" s="1430"/>
      <c r="D398" s="1427"/>
      <c r="E398" s="1427"/>
      <c r="F398" s="1427"/>
      <c r="G398" s="1427"/>
      <c r="H398" s="1427"/>
      <c r="N398" s="1727"/>
    </row>
    <row r="399" spans="1:14" x14ac:dyDescent="0.2">
      <c r="A399" s="1424"/>
      <c r="B399" s="1427"/>
      <c r="C399" s="1430"/>
      <c r="D399" s="1427"/>
      <c r="E399" s="1427"/>
      <c r="F399" s="1427"/>
      <c r="G399" s="1427"/>
      <c r="H399" s="1427"/>
      <c r="N399" s="1727"/>
    </row>
    <row r="400" spans="1:14" x14ac:dyDescent="0.2">
      <c r="A400" s="1424"/>
      <c r="B400" s="1427"/>
      <c r="C400" s="1430"/>
      <c r="D400" s="1427"/>
      <c r="E400" s="1427"/>
      <c r="F400" s="1427"/>
      <c r="G400" s="1427"/>
      <c r="H400" s="1427"/>
      <c r="N400" s="1727"/>
    </row>
    <row r="401" spans="1:14" x14ac:dyDescent="0.2">
      <c r="A401" s="1424"/>
      <c r="B401" s="1427"/>
      <c r="C401" s="1430"/>
      <c r="D401" s="1427"/>
      <c r="E401" s="1427"/>
      <c r="F401" s="1427"/>
      <c r="G401" s="1427"/>
      <c r="H401" s="1427"/>
      <c r="N401" s="1727"/>
    </row>
    <row r="402" spans="1:14" x14ac:dyDescent="0.2">
      <c r="A402" s="1424"/>
      <c r="B402" s="1427"/>
      <c r="C402" s="1430"/>
      <c r="D402" s="1427"/>
      <c r="E402" s="1427"/>
      <c r="F402" s="1427"/>
      <c r="G402" s="1427"/>
      <c r="H402" s="1427"/>
      <c r="N402" s="1727"/>
    </row>
    <row r="403" spans="1:14" x14ac:dyDescent="0.2">
      <c r="A403" s="1424"/>
      <c r="B403" s="1427"/>
      <c r="C403" s="1430"/>
      <c r="D403" s="1427"/>
      <c r="E403" s="1427"/>
      <c r="F403" s="1427"/>
      <c r="G403" s="1427"/>
      <c r="H403" s="1427"/>
      <c r="N403" s="1727"/>
    </row>
    <row r="404" spans="1:14" x14ac:dyDescent="0.2">
      <c r="A404" s="1424"/>
      <c r="B404" s="1427"/>
      <c r="C404" s="1430"/>
      <c r="D404" s="1427"/>
      <c r="E404" s="1427"/>
      <c r="F404" s="1427"/>
      <c r="G404" s="1427"/>
      <c r="H404" s="1427"/>
      <c r="N404" s="1727"/>
    </row>
    <row r="405" spans="1:14" x14ac:dyDescent="0.2">
      <c r="A405" s="1424"/>
      <c r="B405" s="1427"/>
      <c r="C405" s="1430"/>
      <c r="D405" s="1427"/>
      <c r="E405" s="1427"/>
      <c r="F405" s="1427"/>
      <c r="G405" s="1427"/>
      <c r="H405" s="1427"/>
      <c r="N405" s="1727"/>
    </row>
    <row r="406" spans="1:14" x14ac:dyDescent="0.2">
      <c r="A406" s="1424"/>
      <c r="B406" s="1427"/>
      <c r="C406" s="1430"/>
      <c r="D406" s="1427"/>
      <c r="E406" s="1427"/>
      <c r="F406" s="1427"/>
      <c r="G406" s="1427"/>
      <c r="H406" s="1427"/>
      <c r="N406" s="1727"/>
    </row>
    <row r="407" spans="1:14" x14ac:dyDescent="0.2">
      <c r="A407" s="1424"/>
      <c r="B407" s="1427"/>
      <c r="C407" s="1430"/>
      <c r="D407" s="1427"/>
      <c r="E407" s="1427"/>
      <c r="F407" s="1427"/>
      <c r="G407" s="1427"/>
      <c r="H407" s="1427"/>
      <c r="N407" s="1727"/>
    </row>
    <row r="408" spans="1:14" x14ac:dyDescent="0.2">
      <c r="A408" s="1424"/>
      <c r="B408" s="1427"/>
      <c r="C408" s="1430"/>
      <c r="D408" s="1427"/>
      <c r="E408" s="1427"/>
      <c r="F408" s="1427"/>
      <c r="G408" s="1427"/>
      <c r="H408" s="1427"/>
      <c r="N408" s="1727"/>
    </row>
    <row r="409" spans="1:14" x14ac:dyDescent="0.2">
      <c r="A409" s="1424"/>
      <c r="B409" s="1427"/>
      <c r="C409" s="1430"/>
      <c r="D409" s="1427"/>
      <c r="E409" s="1427"/>
      <c r="F409" s="1427"/>
      <c r="G409" s="1427"/>
      <c r="H409" s="1427"/>
      <c r="N409" s="1727"/>
    </row>
    <row r="410" spans="1:14" x14ac:dyDescent="0.2">
      <c r="A410" s="1424"/>
      <c r="B410" s="1427"/>
      <c r="C410" s="1430"/>
      <c r="D410" s="1427"/>
      <c r="E410" s="1427"/>
      <c r="F410" s="1427"/>
      <c r="G410" s="1427"/>
      <c r="H410" s="1427"/>
      <c r="N410" s="1727"/>
    </row>
    <row r="411" spans="1:14" x14ac:dyDescent="0.2">
      <c r="A411" s="1424"/>
      <c r="B411" s="1427"/>
      <c r="C411" s="1430"/>
      <c r="D411" s="1427"/>
      <c r="E411" s="1427"/>
      <c r="F411" s="1427"/>
      <c r="G411" s="1427"/>
      <c r="H411" s="1427"/>
      <c r="N411" s="1727"/>
    </row>
    <row r="412" spans="1:14" x14ac:dyDescent="0.2">
      <c r="A412" s="1424"/>
      <c r="B412" s="1427"/>
      <c r="C412" s="1430"/>
      <c r="D412" s="1427"/>
      <c r="E412" s="1427"/>
      <c r="F412" s="1427"/>
      <c r="G412" s="1427"/>
      <c r="H412" s="1427"/>
      <c r="N412" s="1727"/>
    </row>
    <row r="413" spans="1:14" x14ac:dyDescent="0.2">
      <c r="A413" s="1424"/>
      <c r="B413" s="1427"/>
      <c r="C413" s="1430"/>
      <c r="D413" s="1427"/>
      <c r="E413" s="1427"/>
      <c r="F413" s="1427"/>
      <c r="G413" s="1427"/>
      <c r="H413" s="1427"/>
      <c r="N413" s="1727"/>
    </row>
    <row r="414" spans="1:14" x14ac:dyDescent="0.2">
      <c r="A414" s="1424"/>
      <c r="B414" s="1427"/>
      <c r="C414" s="1430"/>
      <c r="D414" s="1427"/>
      <c r="E414" s="1427"/>
      <c r="F414" s="1427"/>
      <c r="G414" s="1427"/>
      <c r="H414" s="1427"/>
      <c r="N414" s="1727"/>
    </row>
    <row r="415" spans="1:14" x14ac:dyDescent="0.2">
      <c r="A415" s="1424"/>
      <c r="B415" s="1427"/>
      <c r="C415" s="1430"/>
      <c r="D415" s="1427"/>
      <c r="E415" s="1427"/>
      <c r="F415" s="1427"/>
      <c r="G415" s="1427"/>
      <c r="H415" s="1427"/>
      <c r="N415" s="1727"/>
    </row>
    <row r="416" spans="1:14" x14ac:dyDescent="0.2">
      <c r="A416" s="1424"/>
      <c r="B416" s="1427"/>
      <c r="C416" s="1430"/>
      <c r="D416" s="1427"/>
      <c r="E416" s="1427"/>
      <c r="F416" s="1427"/>
      <c r="G416" s="1427"/>
      <c r="H416" s="1427"/>
      <c r="N416" s="1727"/>
    </row>
    <row r="417" spans="1:14" x14ac:dyDescent="0.2">
      <c r="A417" s="1424"/>
      <c r="B417" s="1427"/>
      <c r="C417" s="1430"/>
      <c r="D417" s="1427"/>
      <c r="E417" s="1427"/>
      <c r="F417" s="1427"/>
      <c r="G417" s="1427"/>
      <c r="H417" s="1427"/>
      <c r="N417" s="1727"/>
    </row>
    <row r="418" spans="1:14" x14ac:dyDescent="0.2">
      <c r="A418" s="1424"/>
      <c r="B418" s="1427"/>
      <c r="C418" s="1430"/>
      <c r="D418" s="1427"/>
      <c r="E418" s="1427"/>
      <c r="F418" s="1427"/>
      <c r="G418" s="1427"/>
      <c r="H418" s="1427"/>
      <c r="N418" s="1727"/>
    </row>
    <row r="419" spans="1:14" x14ac:dyDescent="0.2">
      <c r="A419" s="1424"/>
      <c r="B419" s="1427"/>
      <c r="C419" s="1430"/>
      <c r="D419" s="1427"/>
      <c r="E419" s="1427"/>
      <c r="F419" s="1427"/>
      <c r="G419" s="1427"/>
      <c r="H419" s="1427"/>
      <c r="N419" s="1727"/>
    </row>
    <row r="420" spans="1:14" x14ac:dyDescent="0.2">
      <c r="A420" s="1424"/>
      <c r="B420" s="1427"/>
      <c r="C420" s="1430"/>
      <c r="D420" s="1427"/>
      <c r="E420" s="1427"/>
      <c r="F420" s="1427"/>
      <c r="G420" s="1427"/>
      <c r="H420" s="1427"/>
      <c r="N420" s="1727"/>
    </row>
    <row r="421" spans="1:14" x14ac:dyDescent="0.2">
      <c r="A421" s="1424"/>
      <c r="B421" s="1427"/>
      <c r="C421" s="1430"/>
      <c r="D421" s="1427"/>
      <c r="E421" s="1427"/>
      <c r="F421" s="1427"/>
      <c r="G421" s="1427"/>
      <c r="H421" s="1427"/>
      <c r="N421" s="1727"/>
    </row>
    <row r="422" spans="1:14" ht="13.5" thickBot="1" x14ac:dyDescent="0.25">
      <c r="A422" s="1424"/>
      <c r="B422" s="1427"/>
      <c r="C422" s="1430"/>
      <c r="D422" s="1427"/>
      <c r="E422" s="1427"/>
      <c r="F422" s="1427"/>
      <c r="G422" s="1427"/>
      <c r="H422" s="1427"/>
      <c r="N422" s="1727"/>
    </row>
    <row r="423" spans="1:14" x14ac:dyDescent="0.2">
      <c r="A423" s="1733"/>
      <c r="B423" s="1736"/>
      <c r="C423" s="1737"/>
      <c r="D423" s="1736"/>
      <c r="E423" s="1736"/>
      <c r="F423" s="1736"/>
      <c r="G423" s="1736"/>
      <c r="H423" s="1736"/>
      <c r="I423" s="1736"/>
      <c r="J423" s="1736"/>
      <c r="K423" s="1736"/>
      <c r="L423" s="1736"/>
      <c r="M423" s="1736"/>
      <c r="N423" s="1738"/>
    </row>
    <row r="424" spans="1:14" x14ac:dyDescent="0.2">
      <c r="A424" s="1734"/>
      <c r="B424" s="1427"/>
      <c r="C424" s="1430"/>
      <c r="D424" s="1427"/>
      <c r="E424" s="1427"/>
      <c r="F424" s="1427"/>
      <c r="G424" s="1427"/>
      <c r="H424" s="1427"/>
      <c r="N424" s="1739"/>
    </row>
    <row r="425" spans="1:14" x14ac:dyDescent="0.2">
      <c r="A425" s="1734"/>
      <c r="B425" s="1427"/>
      <c r="C425" s="1430"/>
      <c r="D425" s="1427"/>
      <c r="E425" s="1427"/>
      <c r="F425" s="1427"/>
      <c r="G425" s="1427"/>
      <c r="H425" s="1427"/>
      <c r="N425" s="1739"/>
    </row>
    <row r="426" spans="1:14" x14ac:dyDescent="0.2">
      <c r="A426" s="1734"/>
      <c r="B426" s="1427"/>
      <c r="C426" s="1430"/>
      <c r="D426" s="1427"/>
      <c r="E426" s="1427"/>
      <c r="F426" s="1427"/>
      <c r="G426" s="1427"/>
      <c r="H426" s="1427"/>
      <c r="N426" s="1739"/>
    </row>
    <row r="427" spans="1:14" x14ac:dyDescent="0.2">
      <c r="A427" s="1734"/>
      <c r="B427" s="1427"/>
      <c r="C427" s="1430"/>
      <c r="D427" s="1427"/>
      <c r="E427" s="1427"/>
      <c r="F427" s="1427"/>
      <c r="G427" s="1427"/>
      <c r="H427" s="1427"/>
      <c r="N427" s="1739"/>
    </row>
    <row r="428" spans="1:14" x14ac:dyDescent="0.2">
      <c r="A428" s="1734"/>
      <c r="B428" s="1427"/>
      <c r="C428" s="1430"/>
      <c r="D428" s="1427"/>
      <c r="E428" s="1427"/>
      <c r="F428" s="1427"/>
      <c r="G428" s="1427"/>
      <c r="H428" s="1427"/>
      <c r="N428" s="1739"/>
    </row>
    <row r="429" spans="1:14" x14ac:dyDescent="0.2">
      <c r="A429" s="1734"/>
      <c r="B429" s="1427"/>
      <c r="C429" s="1430"/>
      <c r="D429" s="1427"/>
      <c r="E429" s="1427"/>
      <c r="F429" s="1427"/>
      <c r="G429" s="1427"/>
      <c r="H429" s="1427"/>
      <c r="N429" s="1739"/>
    </row>
    <row r="430" spans="1:14" x14ac:dyDescent="0.2">
      <c r="A430" s="1734"/>
      <c r="B430" s="1427"/>
      <c r="C430" s="1430"/>
      <c r="D430" s="1427"/>
      <c r="E430" s="1427"/>
      <c r="F430" s="1427"/>
      <c r="G430" s="1427"/>
      <c r="H430" s="1427"/>
      <c r="N430" s="1739"/>
    </row>
    <row r="431" spans="1:14" x14ac:dyDescent="0.2">
      <c r="A431" s="1734"/>
      <c r="B431" s="1427"/>
      <c r="C431" s="1430"/>
      <c r="D431" s="1427"/>
      <c r="E431" s="1427"/>
      <c r="F431" s="1427"/>
      <c r="G431" s="1427"/>
      <c r="H431" s="1427"/>
      <c r="N431" s="1739"/>
    </row>
    <row r="432" spans="1:14" x14ac:dyDescent="0.2">
      <c r="A432" s="1734"/>
      <c r="B432" s="1427"/>
      <c r="C432" s="1430"/>
      <c r="D432" s="1427"/>
      <c r="E432" s="1427"/>
      <c r="F432" s="1427"/>
      <c r="G432" s="1427"/>
      <c r="H432" s="1427"/>
      <c r="N432" s="1739"/>
    </row>
    <row r="433" spans="1:14" x14ac:dyDescent="0.2">
      <c r="A433" s="1734"/>
      <c r="B433" s="1427"/>
      <c r="C433" s="1430"/>
      <c r="D433" s="1427"/>
      <c r="E433" s="1427"/>
      <c r="F433" s="1427"/>
      <c r="G433" s="1427"/>
      <c r="H433" s="1427"/>
      <c r="N433" s="1739"/>
    </row>
    <row r="434" spans="1:14" x14ac:dyDescent="0.2">
      <c r="A434" s="1734"/>
      <c r="B434" s="1427"/>
      <c r="C434" s="1430"/>
      <c r="D434" s="1427"/>
      <c r="E434" s="1427"/>
      <c r="F434" s="1427"/>
      <c r="G434" s="1427"/>
      <c r="H434" s="1427"/>
      <c r="N434" s="1739"/>
    </row>
    <row r="435" spans="1:14" x14ac:dyDescent="0.2">
      <c r="A435" s="1734"/>
      <c r="B435" s="1427"/>
      <c r="C435" s="1430"/>
      <c r="D435" s="1427"/>
      <c r="E435" s="1427"/>
      <c r="F435" s="1427"/>
      <c r="G435" s="1427"/>
      <c r="H435" s="1427"/>
      <c r="N435" s="1739"/>
    </row>
    <row r="436" spans="1:14" ht="13.5" thickBot="1" x14ac:dyDescent="0.25">
      <c r="A436" s="1732"/>
      <c r="B436" s="1740"/>
      <c r="C436" s="1741"/>
      <c r="D436" s="1740"/>
      <c r="E436" s="1740"/>
      <c r="F436" s="1740"/>
      <c r="G436" s="1740"/>
      <c r="H436" s="1740"/>
      <c r="I436" s="1740"/>
      <c r="J436" s="1740"/>
      <c r="K436" s="1740"/>
      <c r="L436" s="1740"/>
      <c r="M436" s="1740"/>
      <c r="N436" s="1742"/>
    </row>
    <row r="437" spans="1:14" x14ac:dyDescent="0.2">
      <c r="A437" s="1733"/>
      <c r="B437" s="1736"/>
      <c r="C437" s="1737"/>
      <c r="D437" s="1736"/>
      <c r="E437" s="1736"/>
      <c r="F437" s="1736"/>
      <c r="G437" s="1736"/>
      <c r="H437" s="1736"/>
      <c r="I437" s="1736"/>
      <c r="J437" s="1736"/>
      <c r="K437" s="1736"/>
      <c r="L437" s="1736"/>
      <c r="M437" s="1736"/>
      <c r="N437" s="1738"/>
    </row>
    <row r="438" spans="1:14" x14ac:dyDescent="0.2">
      <c r="A438" s="1734"/>
      <c r="B438" s="1427"/>
      <c r="C438" s="1430"/>
      <c r="D438" s="1427"/>
      <c r="E438" s="1427"/>
      <c r="F438" s="1427"/>
      <c r="G438" s="1427"/>
      <c r="H438" s="1427"/>
      <c r="N438" s="1739"/>
    </row>
    <row r="439" spans="1:14" x14ac:dyDescent="0.2">
      <c r="A439" s="1734"/>
      <c r="B439" s="1427"/>
      <c r="C439" s="1430"/>
      <c r="D439" s="1427"/>
      <c r="E439" s="1427"/>
      <c r="F439" s="1427"/>
      <c r="G439" s="1427"/>
      <c r="H439" s="1427"/>
      <c r="N439" s="1739"/>
    </row>
    <row r="440" spans="1:14" x14ac:dyDescent="0.2">
      <c r="A440" s="1734"/>
      <c r="B440" s="1427"/>
      <c r="C440" s="1430"/>
      <c r="D440" s="1427"/>
      <c r="E440" s="1427"/>
      <c r="F440" s="1427"/>
      <c r="G440" s="1427"/>
      <c r="H440" s="1427"/>
      <c r="N440" s="1739"/>
    </row>
    <row r="441" spans="1:14" x14ac:dyDescent="0.2">
      <c r="A441" s="1734"/>
      <c r="B441" s="1427"/>
      <c r="C441" s="1430"/>
      <c r="D441" s="1427"/>
      <c r="E441" s="1427"/>
      <c r="F441" s="1427"/>
      <c r="G441" s="1427"/>
      <c r="H441" s="1427"/>
      <c r="N441" s="1739"/>
    </row>
    <row r="442" spans="1:14" x14ac:dyDescent="0.2">
      <c r="A442" s="1734"/>
      <c r="B442" s="1427"/>
      <c r="C442" s="1430"/>
      <c r="D442" s="1427"/>
      <c r="E442" s="1427"/>
      <c r="F442" s="1427"/>
      <c r="G442" s="1427"/>
      <c r="H442" s="1427"/>
      <c r="N442" s="1739"/>
    </row>
    <row r="443" spans="1:14" x14ac:dyDescent="0.2">
      <c r="A443" s="1734"/>
      <c r="B443" s="1427"/>
      <c r="C443" s="1430"/>
      <c r="D443" s="1427"/>
      <c r="E443" s="1427"/>
      <c r="F443" s="1427"/>
      <c r="G443" s="1427"/>
      <c r="H443" s="1427"/>
      <c r="N443" s="1739"/>
    </row>
    <row r="444" spans="1:14" x14ac:dyDescent="0.2">
      <c r="A444" s="1734"/>
      <c r="B444" s="1427"/>
      <c r="C444" s="1430"/>
      <c r="D444" s="1427"/>
      <c r="E444" s="1427"/>
      <c r="F444" s="1427"/>
      <c r="G444" s="1427"/>
      <c r="H444" s="1427"/>
      <c r="N444" s="1739"/>
    </row>
    <row r="445" spans="1:14" x14ac:dyDescent="0.2">
      <c r="A445" s="1734"/>
      <c r="B445" s="1427"/>
      <c r="C445" s="1430"/>
      <c r="D445" s="1427"/>
      <c r="E445" s="1427"/>
      <c r="F445" s="1427"/>
      <c r="G445" s="1427"/>
      <c r="H445" s="1427"/>
      <c r="N445" s="1739"/>
    </row>
    <row r="446" spans="1:14" x14ac:dyDescent="0.2">
      <c r="A446" s="1734"/>
      <c r="B446" s="1427"/>
      <c r="C446" s="1430"/>
      <c r="D446" s="1427"/>
      <c r="E446" s="1427"/>
      <c r="F446" s="1427"/>
      <c r="G446" s="1427"/>
      <c r="H446" s="1427"/>
      <c r="N446" s="1739"/>
    </row>
    <row r="447" spans="1:14" x14ac:dyDescent="0.2">
      <c r="A447" s="1734"/>
      <c r="B447" s="1427"/>
      <c r="C447" s="1430"/>
      <c r="D447" s="1427"/>
      <c r="E447" s="1427"/>
      <c r="F447" s="1427"/>
      <c r="G447" s="1427"/>
      <c r="H447" s="1427"/>
      <c r="N447" s="1739"/>
    </row>
    <row r="448" spans="1:14" x14ac:dyDescent="0.2">
      <c r="A448" s="1734"/>
      <c r="B448" s="1427"/>
      <c r="C448" s="1430"/>
      <c r="D448" s="1427"/>
      <c r="E448" s="1427"/>
      <c r="F448" s="1427"/>
      <c r="G448" s="1427"/>
      <c r="H448" s="1427"/>
      <c r="N448" s="1739"/>
    </row>
    <row r="449" spans="1:14" x14ac:dyDescent="0.2">
      <c r="A449" s="1734"/>
      <c r="B449" s="1427"/>
      <c r="C449" s="1430"/>
      <c r="D449" s="1427"/>
      <c r="E449" s="1427"/>
      <c r="F449" s="1427"/>
      <c r="G449" s="1427"/>
      <c r="H449" s="1427"/>
      <c r="N449" s="1739"/>
    </row>
    <row r="450" spans="1:14" ht="13.5" thickBot="1" x14ac:dyDescent="0.25">
      <c r="A450" s="1732"/>
      <c r="B450" s="1740"/>
      <c r="C450" s="1741"/>
      <c r="D450" s="1740"/>
      <c r="E450" s="1740"/>
      <c r="F450" s="1740"/>
      <c r="G450" s="1740"/>
      <c r="H450" s="1740"/>
      <c r="I450" s="1740"/>
      <c r="J450" s="1740"/>
      <c r="K450" s="1740"/>
      <c r="L450" s="1740"/>
      <c r="M450" s="1740"/>
      <c r="N450" s="1742"/>
    </row>
    <row r="451" spans="1:14" x14ac:dyDescent="0.2">
      <c r="A451" s="1424"/>
      <c r="B451" s="1427"/>
      <c r="C451" s="1430"/>
      <c r="D451" s="1427"/>
      <c r="E451" s="1427"/>
      <c r="F451" s="1427"/>
      <c r="G451" s="1427"/>
      <c r="H451" s="1427"/>
      <c r="N451" s="1727"/>
    </row>
    <row r="452" spans="1:14" x14ac:dyDescent="0.2">
      <c r="A452" s="1424"/>
      <c r="B452" s="1427"/>
      <c r="C452" s="1430"/>
      <c r="D452" s="1427"/>
      <c r="E452" s="1427"/>
      <c r="F452" s="1427"/>
      <c r="G452" s="1427"/>
      <c r="H452" s="1427"/>
      <c r="N452" s="1727"/>
    </row>
    <row r="453" spans="1:14" x14ac:dyDescent="0.2">
      <c r="A453" s="1424"/>
      <c r="B453" s="1427"/>
      <c r="C453" s="1430"/>
      <c r="D453" s="1427"/>
      <c r="E453" s="1427"/>
      <c r="F453" s="1427"/>
      <c r="G453" s="1427"/>
      <c r="H453" s="1427"/>
      <c r="N453" s="1727"/>
    </row>
    <row r="454" spans="1:14" x14ac:dyDescent="0.2">
      <c r="A454" s="1424"/>
      <c r="B454" s="1427"/>
      <c r="C454" s="1430"/>
      <c r="D454" s="1427"/>
      <c r="E454" s="1427"/>
      <c r="F454" s="1427"/>
      <c r="G454" s="1427"/>
      <c r="H454" s="1427"/>
      <c r="N454" s="1727"/>
    </row>
    <row r="455" spans="1:14" x14ac:dyDescent="0.2">
      <c r="A455" s="1424"/>
      <c r="B455" s="1427"/>
      <c r="C455" s="1430"/>
      <c r="D455" s="1427"/>
      <c r="E455" s="1427"/>
      <c r="F455" s="1427"/>
      <c r="G455" s="1427"/>
      <c r="H455" s="1427"/>
      <c r="N455" s="1727"/>
    </row>
    <row r="456" spans="1:14" x14ac:dyDescent="0.2">
      <c r="A456" s="1424"/>
      <c r="B456" s="1427"/>
      <c r="C456" s="1430"/>
      <c r="D456" s="1427"/>
      <c r="E456" s="1427"/>
      <c r="F456" s="1427"/>
      <c r="G456" s="1427"/>
      <c r="H456" s="1427"/>
      <c r="N456" s="1727"/>
    </row>
    <row r="457" spans="1:14" x14ac:dyDescent="0.2">
      <c r="A457" s="1424"/>
      <c r="B457" s="1427"/>
      <c r="C457" s="1430"/>
      <c r="D457" s="1427"/>
      <c r="E457" s="1427"/>
      <c r="F457" s="1427"/>
      <c r="G457" s="1427"/>
      <c r="H457" s="1427"/>
      <c r="N457" s="1727"/>
    </row>
    <row r="458" spans="1:14" x14ac:dyDescent="0.2">
      <c r="A458" s="1424"/>
      <c r="B458" s="1427"/>
      <c r="C458" s="1430"/>
      <c r="D458" s="1427"/>
      <c r="E458" s="1427"/>
      <c r="F458" s="1427"/>
      <c r="G458" s="1427"/>
      <c r="H458" s="1427"/>
      <c r="N458" s="1727"/>
    </row>
    <row r="459" spans="1:14" ht="13.5" thickBot="1" x14ac:dyDescent="0.25">
      <c r="A459" s="1424"/>
      <c r="B459" s="1427"/>
      <c r="C459" s="1430"/>
      <c r="D459" s="1427"/>
      <c r="E459" s="1427"/>
      <c r="F459" s="1427"/>
      <c r="G459" s="1427"/>
      <c r="H459" s="1427"/>
      <c r="N459" s="1727"/>
    </row>
    <row r="460" spans="1:14" x14ac:dyDescent="0.2">
      <c r="A460" s="1733"/>
      <c r="B460" s="1736"/>
      <c r="C460" s="1737"/>
      <c r="D460" s="1736"/>
      <c r="E460" s="1736"/>
      <c r="F460" s="1736"/>
      <c r="G460" s="1736"/>
      <c r="H460" s="1736"/>
      <c r="I460" s="1736"/>
      <c r="J460" s="1736"/>
      <c r="K460" s="1736"/>
      <c r="L460" s="1736"/>
      <c r="M460" s="1736"/>
      <c r="N460" s="1738"/>
    </row>
    <row r="461" spans="1:14" x14ac:dyDescent="0.2">
      <c r="A461" s="1734"/>
      <c r="B461" s="1427"/>
      <c r="C461" s="1430"/>
      <c r="D461" s="1427"/>
      <c r="E461" s="1427"/>
      <c r="F461" s="1427"/>
      <c r="G461" s="1427"/>
      <c r="H461" s="1427"/>
      <c r="N461" s="1739"/>
    </row>
    <row r="462" spans="1:14" x14ac:dyDescent="0.2">
      <c r="A462" s="1734"/>
      <c r="B462" s="1427"/>
      <c r="C462" s="1430"/>
      <c r="D462" s="1427"/>
      <c r="E462" s="1427"/>
      <c r="F462" s="1427"/>
      <c r="G462" s="1427"/>
      <c r="H462" s="1427"/>
      <c r="N462" s="1739"/>
    </row>
    <row r="463" spans="1:14" x14ac:dyDescent="0.2">
      <c r="A463" s="1734"/>
      <c r="B463" s="1427"/>
      <c r="C463" s="1430"/>
      <c r="D463" s="1427"/>
      <c r="E463" s="1427"/>
      <c r="F463" s="1427"/>
      <c r="G463" s="1427"/>
      <c r="H463" s="1427"/>
      <c r="N463" s="1739"/>
    </row>
    <row r="464" spans="1:14" x14ac:dyDescent="0.2">
      <c r="A464" s="1734"/>
      <c r="B464" s="1427"/>
      <c r="C464" s="1430"/>
      <c r="D464" s="1427"/>
      <c r="E464" s="1427"/>
      <c r="F464" s="1427"/>
      <c r="G464" s="1427"/>
      <c r="H464" s="1427"/>
      <c r="N464" s="1739"/>
    </row>
    <row r="465" spans="1:14" x14ac:dyDescent="0.2">
      <c r="A465" s="1734"/>
      <c r="B465" s="1427"/>
      <c r="C465" s="1430"/>
      <c r="D465" s="1427"/>
      <c r="E465" s="1427"/>
      <c r="F465" s="1427"/>
      <c r="G465" s="1427"/>
      <c r="H465" s="1427"/>
      <c r="N465" s="1739"/>
    </row>
    <row r="466" spans="1:14" x14ac:dyDescent="0.2">
      <c r="A466" s="1734"/>
      <c r="B466" s="1427"/>
      <c r="C466" s="1430"/>
      <c r="D466" s="1427"/>
      <c r="E466" s="1427"/>
      <c r="F466" s="1427"/>
      <c r="G466" s="1427"/>
      <c r="H466" s="1427"/>
      <c r="N466" s="1739"/>
    </row>
    <row r="467" spans="1:14" x14ac:dyDescent="0.2">
      <c r="A467" s="1734"/>
      <c r="B467" s="1427"/>
      <c r="C467" s="1430"/>
      <c r="D467" s="1427"/>
      <c r="E467" s="1427"/>
      <c r="F467" s="1427"/>
      <c r="G467" s="1427"/>
      <c r="H467" s="1427"/>
      <c r="N467" s="1739"/>
    </row>
    <row r="468" spans="1:14" ht="13.5" thickBot="1" x14ac:dyDescent="0.25">
      <c r="A468" s="1732"/>
      <c r="B468" s="1740"/>
      <c r="C468" s="1741"/>
      <c r="D468" s="1740"/>
      <c r="E468" s="1740"/>
      <c r="F468" s="1740"/>
      <c r="G468" s="1740"/>
      <c r="H468" s="1740"/>
      <c r="I468" s="1740"/>
      <c r="J468" s="1740"/>
      <c r="K468" s="1740"/>
      <c r="L468" s="1740"/>
      <c r="M468" s="1740"/>
      <c r="N468" s="1742"/>
    </row>
    <row r="469" spans="1:14" x14ac:dyDescent="0.2">
      <c r="A469" s="1424"/>
      <c r="B469" s="1427"/>
      <c r="C469" s="1430"/>
      <c r="D469" s="1427"/>
      <c r="E469" s="1427"/>
      <c r="F469" s="1427"/>
      <c r="G469" s="1427"/>
      <c r="H469" s="1427"/>
      <c r="N469" s="1727"/>
    </row>
    <row r="470" spans="1:14" x14ac:dyDescent="0.2">
      <c r="A470" s="1424"/>
      <c r="B470" s="1427"/>
      <c r="C470" s="1430"/>
      <c r="D470" s="1427"/>
      <c r="E470" s="1427"/>
      <c r="F470" s="1427"/>
      <c r="G470" s="1427"/>
      <c r="H470" s="1427"/>
      <c r="N470" s="1727"/>
    </row>
    <row r="471" spans="1:14" x14ac:dyDescent="0.2">
      <c r="A471" s="1424"/>
      <c r="B471" s="1427"/>
      <c r="C471" s="1430"/>
      <c r="D471" s="1427"/>
      <c r="E471" s="1427"/>
      <c r="F471" s="1427"/>
      <c r="G471" s="1427"/>
      <c r="H471" s="1427"/>
      <c r="N471" s="1727"/>
    </row>
    <row r="472" spans="1:14" x14ac:dyDescent="0.2">
      <c r="A472" s="1424"/>
      <c r="B472" s="1427"/>
      <c r="C472" s="1430"/>
      <c r="D472" s="1427"/>
      <c r="E472" s="1427"/>
      <c r="F472" s="1427"/>
      <c r="G472" s="1427"/>
      <c r="H472" s="1427"/>
      <c r="N472" s="1727"/>
    </row>
    <row r="473" spans="1:14" x14ac:dyDescent="0.2">
      <c r="A473" s="1424"/>
      <c r="B473" s="1427"/>
      <c r="C473" s="1430"/>
      <c r="D473" s="1427"/>
      <c r="E473" s="1427"/>
      <c r="F473" s="1427"/>
      <c r="G473" s="1427"/>
      <c r="H473" s="1427"/>
      <c r="N473" s="1727"/>
    </row>
    <row r="474" spans="1:14" x14ac:dyDescent="0.2">
      <c r="A474" s="1424"/>
      <c r="B474" s="1427"/>
      <c r="C474" s="1430"/>
      <c r="D474" s="1427"/>
      <c r="E474" s="1427"/>
      <c r="F474" s="1427"/>
      <c r="G474" s="1427"/>
      <c r="H474" s="1427"/>
      <c r="N474" s="1727"/>
    </row>
    <row r="475" spans="1:14" x14ac:dyDescent="0.2">
      <c r="A475" s="1424"/>
      <c r="B475" s="1427"/>
      <c r="C475" s="1430"/>
      <c r="D475" s="1427"/>
      <c r="E475" s="1427"/>
      <c r="F475" s="1427"/>
      <c r="G475" s="1427"/>
      <c r="H475" s="1427"/>
      <c r="N475" s="1727"/>
    </row>
    <row r="476" spans="1:14" ht="13.5" thickBot="1" x14ac:dyDescent="0.25">
      <c r="A476" s="1424"/>
      <c r="B476" s="1427"/>
      <c r="C476" s="1430"/>
      <c r="D476" s="1427"/>
      <c r="E476" s="1427"/>
      <c r="F476" s="1427"/>
      <c r="G476" s="1427"/>
      <c r="H476" s="1427"/>
      <c r="N476" s="1727"/>
    </row>
    <row r="477" spans="1:14" ht="45" x14ac:dyDescent="0.2">
      <c r="A477" s="1733"/>
      <c r="B477" s="1743" t="s">
        <v>23</v>
      </c>
      <c r="C477" s="1743"/>
      <c r="D477" s="1736"/>
      <c r="E477" s="1736"/>
      <c r="F477" s="1736"/>
      <c r="G477" s="1736"/>
      <c r="H477" s="1736"/>
      <c r="I477" s="1736"/>
      <c r="J477" s="1736"/>
      <c r="K477" s="1736"/>
      <c r="L477" s="1736"/>
      <c r="M477" s="1736"/>
      <c r="N477" s="1738"/>
    </row>
    <row r="478" spans="1:14" x14ac:dyDescent="0.2">
      <c r="A478" s="1734"/>
      <c r="B478" s="1427"/>
      <c r="C478" s="1430"/>
      <c r="D478" s="1427"/>
      <c r="E478" s="1427"/>
      <c r="F478" s="1427"/>
      <c r="G478" s="1427"/>
      <c r="H478" s="1427"/>
      <c r="N478" s="1739"/>
    </row>
    <row r="479" spans="1:14" x14ac:dyDescent="0.2">
      <c r="A479" s="1734"/>
      <c r="B479" s="1427"/>
      <c r="C479" s="1430"/>
      <c r="D479" s="1427"/>
      <c r="E479" s="1427"/>
      <c r="F479" s="1427"/>
      <c r="G479" s="1427"/>
      <c r="H479" s="1427"/>
      <c r="N479" s="1739"/>
    </row>
    <row r="480" spans="1:14" x14ac:dyDescent="0.2">
      <c r="A480" s="1734"/>
      <c r="B480" s="1427"/>
      <c r="C480" s="1430"/>
      <c r="D480" s="1427"/>
      <c r="E480" s="1427"/>
      <c r="F480" s="1427"/>
      <c r="G480" s="1427"/>
      <c r="H480" s="1427"/>
      <c r="N480" s="1739"/>
    </row>
    <row r="481" spans="1:14" x14ac:dyDescent="0.2">
      <c r="A481" s="1734"/>
      <c r="B481" s="1427"/>
      <c r="C481" s="1430"/>
      <c r="D481" s="1427"/>
      <c r="E481" s="1427"/>
      <c r="F481" s="1427"/>
      <c r="G481" s="1427"/>
      <c r="H481" s="1427"/>
      <c r="N481" s="1739"/>
    </row>
    <row r="482" spans="1:14" x14ac:dyDescent="0.2">
      <c r="A482" s="1734"/>
      <c r="B482" s="1427"/>
      <c r="C482" s="1430"/>
      <c r="D482" s="1427"/>
      <c r="E482" s="1427"/>
      <c r="F482" s="1427"/>
      <c r="G482" s="1427"/>
      <c r="H482" s="1427"/>
      <c r="N482" s="1739"/>
    </row>
    <row r="483" spans="1:14" x14ac:dyDescent="0.2">
      <c r="A483" s="1734"/>
      <c r="B483" s="1427"/>
      <c r="C483" s="1430"/>
      <c r="D483" s="1427"/>
      <c r="E483" s="1427"/>
      <c r="F483" s="1427"/>
      <c r="G483" s="1427"/>
      <c r="H483" s="1427"/>
      <c r="N483" s="1739"/>
    </row>
    <row r="484" spans="1:14" x14ac:dyDescent="0.2">
      <c r="A484" s="1734"/>
      <c r="B484" s="1427"/>
      <c r="C484" s="1430"/>
      <c r="D484" s="1427"/>
      <c r="E484" s="1427"/>
      <c r="F484" s="1427"/>
      <c r="G484" s="1427"/>
      <c r="H484" s="1427"/>
      <c r="N484" s="1739"/>
    </row>
    <row r="485" spans="1:14" x14ac:dyDescent="0.2">
      <c r="A485" s="1734"/>
      <c r="B485" s="1427"/>
      <c r="C485" s="1430"/>
      <c r="D485" s="1427"/>
      <c r="E485" s="1427"/>
      <c r="F485" s="1427"/>
      <c r="G485" s="1427"/>
      <c r="H485" s="1427"/>
      <c r="N485" s="1739"/>
    </row>
    <row r="486" spans="1:14" x14ac:dyDescent="0.2">
      <c r="A486" s="1734"/>
      <c r="B486" s="1427"/>
      <c r="C486" s="1430"/>
      <c r="D486" s="1427"/>
      <c r="E486" s="1427"/>
      <c r="F486" s="1427"/>
      <c r="G486" s="1427"/>
      <c r="H486" s="1427"/>
      <c r="N486" s="1739"/>
    </row>
    <row r="487" spans="1:14" x14ac:dyDescent="0.2">
      <c r="A487" s="1734"/>
      <c r="B487" s="1427"/>
      <c r="C487" s="1430"/>
      <c r="D487" s="1427"/>
      <c r="E487" s="1427"/>
      <c r="F487" s="1427"/>
      <c r="G487" s="1427"/>
      <c r="H487" s="1427"/>
      <c r="N487" s="1739"/>
    </row>
    <row r="488" spans="1:14" ht="13.5" thickBot="1" x14ac:dyDescent="0.25">
      <c r="A488" s="1732"/>
      <c r="B488" s="1740"/>
      <c r="C488" s="1741"/>
      <c r="D488" s="1740"/>
      <c r="E488" s="1740"/>
      <c r="F488" s="1740"/>
      <c r="G488" s="1740"/>
      <c r="H488" s="1740"/>
      <c r="I488" s="1740"/>
      <c r="J488" s="1740"/>
      <c r="K488" s="1740"/>
      <c r="L488" s="1740"/>
      <c r="M488" s="1740"/>
      <c r="N488" s="1742"/>
    </row>
    <row r="489" spans="1:14" x14ac:dyDescent="0.2">
      <c r="A489" s="1424"/>
      <c r="B489" s="1427"/>
      <c r="C489" s="1430"/>
      <c r="D489" s="1427"/>
      <c r="E489" s="1427"/>
      <c r="F489" s="1427"/>
      <c r="G489" s="1427"/>
      <c r="H489" s="1427"/>
      <c r="N489" s="1727"/>
    </row>
    <row r="490" spans="1:14" x14ac:dyDescent="0.2">
      <c r="A490" s="1424"/>
      <c r="B490" s="1427"/>
      <c r="C490" s="1430"/>
      <c r="D490" s="1427"/>
      <c r="E490" s="1427"/>
      <c r="F490" s="1427"/>
      <c r="G490" s="1427"/>
      <c r="H490" s="1427"/>
      <c r="N490" s="1727"/>
    </row>
    <row r="491" spans="1:14" x14ac:dyDescent="0.2">
      <c r="A491" s="1424"/>
      <c r="B491" s="1427"/>
      <c r="C491" s="1430"/>
      <c r="D491" s="1427"/>
      <c r="E491" s="1427"/>
      <c r="F491" s="1427"/>
      <c r="G491" s="1427"/>
      <c r="H491" s="1427"/>
      <c r="N491" s="1727"/>
    </row>
    <row r="492" spans="1:14" x14ac:dyDescent="0.2">
      <c r="A492" s="1424"/>
      <c r="B492" s="1427"/>
      <c r="C492" s="1430"/>
      <c r="D492" s="1427"/>
      <c r="E492" s="1427"/>
      <c r="F492" s="1427"/>
      <c r="G492" s="1427"/>
      <c r="H492" s="1427"/>
      <c r="N492" s="1727"/>
    </row>
    <row r="493" spans="1:14" x14ac:dyDescent="0.2">
      <c r="A493" s="1424"/>
      <c r="B493" s="1427"/>
      <c r="C493" s="1430"/>
      <c r="D493" s="1427"/>
      <c r="E493" s="1427"/>
      <c r="F493" s="1427"/>
      <c r="G493" s="1427"/>
      <c r="H493" s="1427"/>
      <c r="N493" s="1727"/>
    </row>
    <row r="494" spans="1:14" x14ac:dyDescent="0.2">
      <c r="A494" s="1424"/>
      <c r="B494" s="1427"/>
      <c r="C494" s="1430"/>
      <c r="D494" s="1427"/>
      <c r="E494" s="1427"/>
      <c r="F494" s="1427"/>
      <c r="G494" s="1427"/>
      <c r="H494" s="1427"/>
      <c r="N494" s="1727"/>
    </row>
    <row r="495" spans="1:14" x14ac:dyDescent="0.2">
      <c r="A495" s="1424"/>
      <c r="B495" s="1427"/>
      <c r="C495" s="1430"/>
      <c r="D495" s="1427"/>
      <c r="E495" s="1427"/>
      <c r="F495" s="1427"/>
      <c r="G495" s="1427"/>
      <c r="H495" s="1427"/>
      <c r="N495" s="1727"/>
    </row>
    <row r="496" spans="1:14" x14ac:dyDescent="0.2">
      <c r="A496" s="1424"/>
      <c r="B496" s="1427"/>
      <c r="C496" s="1430"/>
      <c r="D496" s="1427"/>
      <c r="E496" s="1427"/>
      <c r="F496" s="1427"/>
      <c r="G496" s="1427"/>
      <c r="H496" s="1427"/>
      <c r="N496" s="1727"/>
    </row>
    <row r="497" spans="1:14" x14ac:dyDescent="0.2">
      <c r="A497" s="1424"/>
      <c r="B497" s="1427"/>
      <c r="C497" s="1430"/>
      <c r="D497" s="1427"/>
      <c r="E497" s="1427"/>
      <c r="F497" s="1427"/>
      <c r="G497" s="1427"/>
      <c r="H497" s="1427"/>
      <c r="N497" s="1727"/>
    </row>
    <row r="498" spans="1:14" x14ac:dyDescent="0.2">
      <c r="A498" s="1424"/>
      <c r="B498" s="1427"/>
      <c r="C498" s="1430"/>
      <c r="D498" s="1427"/>
      <c r="E498" s="1427"/>
      <c r="F498" s="1427"/>
      <c r="G498" s="1427"/>
      <c r="H498" s="1427"/>
      <c r="N498" s="1727"/>
    </row>
    <row r="499" spans="1:14" x14ac:dyDescent="0.2">
      <c r="A499" s="1424"/>
      <c r="B499" s="1427"/>
      <c r="C499" s="1430"/>
      <c r="D499" s="1427"/>
      <c r="E499" s="1427"/>
      <c r="F499" s="1427"/>
      <c r="G499" s="1427"/>
      <c r="H499" s="1427"/>
      <c r="N499" s="1727"/>
    </row>
    <row r="500" spans="1:14" x14ac:dyDescent="0.2">
      <c r="A500" s="1424"/>
      <c r="B500" s="1427"/>
      <c r="C500" s="1430"/>
      <c r="D500" s="1427"/>
      <c r="E500" s="1427"/>
      <c r="F500" s="1427"/>
      <c r="G500" s="1427"/>
      <c r="H500" s="1427"/>
      <c r="N500" s="1727"/>
    </row>
    <row r="501" spans="1:14" x14ac:dyDescent="0.2">
      <c r="A501" s="1424"/>
      <c r="B501" s="1427"/>
      <c r="C501" s="1430"/>
      <c r="D501" s="1427"/>
      <c r="E501" s="1427"/>
      <c r="F501" s="1427"/>
      <c r="G501" s="1427"/>
      <c r="H501" s="1427"/>
      <c r="N501" s="1727"/>
    </row>
    <row r="502" spans="1:14" x14ac:dyDescent="0.2">
      <c r="A502" s="1424"/>
      <c r="B502" s="1427"/>
      <c r="C502" s="1430"/>
      <c r="D502" s="1427"/>
      <c r="E502" s="1427"/>
      <c r="F502" s="1427"/>
      <c r="G502" s="1427"/>
      <c r="H502" s="1427"/>
      <c r="N502" s="1727"/>
    </row>
    <row r="503" spans="1:14" x14ac:dyDescent="0.2">
      <c r="A503" s="1424"/>
      <c r="B503" s="1427"/>
      <c r="C503" s="1430"/>
      <c r="D503" s="1427"/>
      <c r="E503" s="1427"/>
      <c r="F503" s="1427"/>
      <c r="G503" s="1427"/>
      <c r="H503" s="1427"/>
      <c r="N503" s="1727"/>
    </row>
    <row r="504" spans="1:14" x14ac:dyDescent="0.2">
      <c r="A504" s="1424"/>
      <c r="B504" s="1427"/>
      <c r="C504" s="1430"/>
      <c r="D504" s="1427"/>
      <c r="E504" s="1427"/>
      <c r="F504" s="1427"/>
      <c r="G504" s="1427"/>
      <c r="H504" s="1427"/>
      <c r="N504" s="1727"/>
    </row>
    <row r="505" spans="1:14" x14ac:dyDescent="0.2">
      <c r="A505" s="1424"/>
      <c r="B505" s="1427"/>
      <c r="C505" s="1430"/>
      <c r="D505" s="1427"/>
      <c r="E505" s="1427"/>
      <c r="F505" s="1427"/>
      <c r="G505" s="1427"/>
      <c r="H505" s="1427"/>
      <c r="N505" s="1727"/>
    </row>
    <row r="506" spans="1:14" x14ac:dyDescent="0.2">
      <c r="A506" s="1424"/>
      <c r="B506" s="1427"/>
      <c r="C506" s="1430"/>
      <c r="D506" s="1427"/>
      <c r="E506" s="1427"/>
      <c r="F506" s="1427"/>
      <c r="G506" s="1427"/>
      <c r="H506" s="1427"/>
      <c r="N506" s="1727"/>
    </row>
    <row r="507" spans="1:14" x14ac:dyDescent="0.2">
      <c r="A507" s="1424"/>
      <c r="B507" s="1427"/>
      <c r="C507" s="1430"/>
      <c r="D507" s="1427"/>
      <c r="E507" s="1427"/>
      <c r="F507" s="1427"/>
      <c r="G507" s="1427"/>
      <c r="H507" s="1427"/>
      <c r="N507" s="1727"/>
    </row>
    <row r="508" spans="1:14" x14ac:dyDescent="0.2">
      <c r="A508" s="1424"/>
      <c r="B508" s="1427"/>
      <c r="C508" s="1430"/>
      <c r="D508" s="1427"/>
      <c r="E508" s="1427"/>
      <c r="F508" s="1427"/>
      <c r="G508" s="1427"/>
      <c r="H508" s="1427"/>
      <c r="N508" s="1727"/>
    </row>
    <row r="509" spans="1:14" x14ac:dyDescent="0.2">
      <c r="A509" s="1424"/>
      <c r="B509" s="1427"/>
      <c r="C509" s="1430"/>
      <c r="D509" s="1427"/>
      <c r="E509" s="1427"/>
      <c r="F509" s="1425">
        <v>415162</v>
      </c>
      <c r="G509" s="1427"/>
      <c r="H509" s="1427"/>
      <c r="N509" s="1727"/>
    </row>
    <row r="510" spans="1:14" x14ac:dyDescent="0.2">
      <c r="A510" s="1424"/>
      <c r="B510" s="1427"/>
      <c r="C510" s="1430"/>
      <c r="D510" s="1427"/>
      <c r="E510" s="1427"/>
      <c r="F510" s="1427"/>
      <c r="G510" s="1427"/>
      <c r="H510" s="1427"/>
      <c r="N510" s="1727"/>
    </row>
    <row r="511" spans="1:14" x14ac:dyDescent="0.2">
      <c r="A511" s="1424"/>
      <c r="B511" s="1427"/>
      <c r="C511" s="1430"/>
      <c r="D511" s="1427"/>
      <c r="E511" s="1427"/>
      <c r="F511" s="1427"/>
      <c r="G511" s="1427"/>
      <c r="H511" s="1427"/>
      <c r="N511" s="1727"/>
    </row>
    <row r="512" spans="1:14" x14ac:dyDescent="0.2">
      <c r="A512" s="1424"/>
      <c r="B512" s="1427"/>
      <c r="C512" s="1430"/>
      <c r="D512" s="1427"/>
      <c r="E512" s="1427"/>
      <c r="F512" s="1427"/>
      <c r="G512" s="1427"/>
      <c r="H512" s="1427"/>
      <c r="N512" s="1727"/>
    </row>
    <row r="513" spans="1:14" x14ac:dyDescent="0.2">
      <c r="A513" s="1424"/>
      <c r="B513" s="1427"/>
      <c r="C513" s="1430"/>
      <c r="D513" s="1427"/>
      <c r="E513" s="1427"/>
      <c r="F513" s="1427"/>
      <c r="G513" s="1427"/>
      <c r="H513" s="1427"/>
      <c r="N513" s="1727"/>
    </row>
    <row r="514" spans="1:14" x14ac:dyDescent="0.2">
      <c r="A514" s="1424"/>
      <c r="B514" s="1427"/>
      <c r="C514" s="1430"/>
      <c r="D514" s="1427"/>
      <c r="E514" s="1427"/>
      <c r="F514" s="1427"/>
      <c r="G514" s="1427"/>
      <c r="H514" s="1427"/>
      <c r="N514" s="1727"/>
    </row>
    <row r="515" spans="1:14" x14ac:dyDescent="0.2">
      <c r="A515" s="1424"/>
      <c r="B515" s="1427"/>
      <c r="C515" s="1430"/>
      <c r="D515" s="1427"/>
      <c r="E515" s="1427"/>
      <c r="F515" s="1427"/>
      <c r="G515" s="1427"/>
      <c r="H515" s="1427"/>
      <c r="N515" s="1727"/>
    </row>
    <row r="516" spans="1:14" x14ac:dyDescent="0.2">
      <c r="A516" s="1424"/>
      <c r="B516" s="1427"/>
      <c r="C516" s="1430"/>
      <c r="D516" s="1427"/>
      <c r="E516" s="1427"/>
      <c r="F516" s="1427"/>
      <c r="G516" s="1427"/>
      <c r="H516" s="1427"/>
      <c r="N516" s="1727"/>
    </row>
    <row r="517" spans="1:14" x14ac:dyDescent="0.2">
      <c r="A517" s="1424"/>
      <c r="B517" s="1427"/>
      <c r="C517" s="1430"/>
      <c r="D517" s="1427"/>
      <c r="E517" s="1427"/>
      <c r="F517" s="1427"/>
      <c r="G517" s="1427"/>
      <c r="H517" s="1427"/>
      <c r="N517" s="1727"/>
    </row>
    <row r="518" spans="1:14" x14ac:dyDescent="0.2">
      <c r="A518" s="1424"/>
      <c r="B518" s="1427"/>
      <c r="C518" s="1430"/>
      <c r="D518" s="1427"/>
      <c r="E518" s="1427"/>
      <c r="F518" s="1427"/>
      <c r="G518" s="1427"/>
      <c r="H518" s="1427"/>
      <c r="N518" s="1727"/>
    </row>
    <row r="519" spans="1:14" x14ac:dyDescent="0.2">
      <c r="A519" s="1424"/>
      <c r="B519" s="1427"/>
      <c r="C519" s="1430"/>
      <c r="D519" s="1427"/>
      <c r="E519" s="1427"/>
      <c r="F519" s="1427"/>
      <c r="G519" s="1427"/>
      <c r="H519" s="1427"/>
      <c r="N519" s="1727"/>
    </row>
    <row r="520" spans="1:14" x14ac:dyDescent="0.2">
      <c r="A520" s="1424"/>
      <c r="B520" s="1427"/>
      <c r="C520" s="1430"/>
      <c r="D520" s="1427"/>
      <c r="E520" s="1427"/>
      <c r="F520" s="1427"/>
      <c r="G520" s="1427"/>
      <c r="H520" s="1427"/>
      <c r="N520" s="1727"/>
    </row>
    <row r="521" spans="1:14" x14ac:dyDescent="0.2">
      <c r="A521" s="1424"/>
      <c r="B521" s="1427"/>
      <c r="C521" s="1430"/>
      <c r="D521" s="1427"/>
      <c r="E521" s="1427"/>
      <c r="F521" s="1427"/>
      <c r="G521" s="1427"/>
      <c r="H521" s="1427"/>
      <c r="N521" s="1727"/>
    </row>
    <row r="522" spans="1:14" x14ac:dyDescent="0.2">
      <c r="A522" s="1424"/>
      <c r="B522" s="1427"/>
      <c r="C522" s="1430"/>
      <c r="D522" s="1427"/>
      <c r="E522" s="1427"/>
      <c r="F522" s="1427"/>
      <c r="G522" s="1427"/>
      <c r="H522" s="1427"/>
      <c r="N522" s="1727"/>
    </row>
    <row r="523" spans="1:14" x14ac:dyDescent="0.2">
      <c r="A523" s="1424"/>
      <c r="B523" s="1427"/>
      <c r="C523" s="1430"/>
      <c r="D523" s="1427"/>
      <c r="E523" s="1427"/>
      <c r="F523" s="1427"/>
      <c r="G523" s="1427"/>
      <c r="H523" s="1427"/>
      <c r="N523" s="1727"/>
    </row>
    <row r="524" spans="1:14" x14ac:dyDescent="0.2">
      <c r="A524" s="1424"/>
      <c r="B524" s="1427"/>
      <c r="C524" s="1430"/>
      <c r="D524" s="1427"/>
      <c r="E524" s="1427"/>
      <c r="F524" s="1427"/>
      <c r="G524" s="1427"/>
      <c r="H524" s="1427"/>
      <c r="N524" s="1727"/>
    </row>
    <row r="525" spans="1:14" x14ac:dyDescent="0.2">
      <c r="A525" s="1424"/>
      <c r="B525" s="1427"/>
      <c r="C525" s="1430"/>
      <c r="D525" s="1427"/>
      <c r="E525" s="1427"/>
      <c r="F525" s="1427"/>
      <c r="G525" s="1427"/>
      <c r="H525" s="1427"/>
      <c r="N525" s="1727"/>
    </row>
    <row r="526" spans="1:14" x14ac:dyDescent="0.2">
      <c r="A526" s="1424"/>
      <c r="B526" s="1427"/>
      <c r="C526" s="1430"/>
      <c r="D526" s="1427"/>
      <c r="E526" s="1427"/>
      <c r="F526" s="1427"/>
      <c r="G526" s="1427"/>
      <c r="H526" s="1427"/>
      <c r="N526" s="1727"/>
    </row>
    <row r="527" spans="1:14" x14ac:dyDescent="0.2">
      <c r="A527" s="1424"/>
      <c r="B527" s="1427"/>
      <c r="C527" s="1430"/>
      <c r="D527" s="1427"/>
      <c r="E527" s="1427"/>
      <c r="F527" s="1427"/>
      <c r="G527" s="1427"/>
      <c r="H527" s="1427"/>
      <c r="N527" s="1727"/>
    </row>
    <row r="528" spans="1:14" x14ac:dyDescent="0.2">
      <c r="A528" s="1424"/>
      <c r="B528" s="1427"/>
      <c r="C528" s="1430"/>
      <c r="D528" s="1427"/>
      <c r="E528" s="1427"/>
      <c r="F528" s="1427"/>
      <c r="G528" s="1427"/>
      <c r="H528" s="1427"/>
      <c r="N528" s="1727"/>
    </row>
    <row r="529" spans="1:14" x14ac:dyDescent="0.2">
      <c r="A529" s="1424"/>
      <c r="B529" s="1427"/>
      <c r="C529" s="1430"/>
      <c r="D529" s="1427"/>
      <c r="E529" s="1427"/>
      <c r="F529" s="1427"/>
      <c r="G529" s="1427"/>
      <c r="H529" s="1427"/>
      <c r="N529" s="1727"/>
    </row>
    <row r="530" spans="1:14" x14ac:dyDescent="0.2">
      <c r="A530" s="1424"/>
      <c r="B530" s="1427"/>
      <c r="C530" s="1430"/>
      <c r="D530" s="1427"/>
      <c r="E530" s="1427"/>
      <c r="F530" s="1427"/>
      <c r="G530" s="1427"/>
      <c r="H530" s="1427"/>
      <c r="N530" s="1727"/>
    </row>
    <row r="531" spans="1:14" x14ac:dyDescent="0.2">
      <c r="A531" s="1424"/>
      <c r="B531" s="1427"/>
      <c r="C531" s="1430"/>
      <c r="D531" s="1427"/>
      <c r="E531" s="1427"/>
      <c r="F531" s="1427"/>
      <c r="G531" s="1427"/>
      <c r="H531" s="1427"/>
      <c r="N531" s="1727"/>
    </row>
    <row r="532" spans="1:14" x14ac:dyDescent="0.2">
      <c r="A532" s="1424"/>
      <c r="B532" s="1427"/>
      <c r="C532" s="1430"/>
      <c r="D532" s="1427"/>
      <c r="E532" s="1427"/>
      <c r="F532" s="1427"/>
      <c r="G532" s="1427"/>
      <c r="H532" s="1427"/>
      <c r="N532" s="1727"/>
    </row>
    <row r="533" spans="1:14" x14ac:dyDescent="0.2">
      <c r="A533" s="1424"/>
      <c r="B533" s="1427"/>
      <c r="C533" s="1430"/>
      <c r="D533" s="1427"/>
      <c r="E533" s="1427"/>
      <c r="F533" s="1427"/>
      <c r="G533" s="1427"/>
      <c r="H533" s="1427"/>
      <c r="N533" s="1727"/>
    </row>
    <row r="534" spans="1:14" x14ac:dyDescent="0.2">
      <c r="A534" s="1424"/>
      <c r="B534" s="1427"/>
      <c r="C534" s="1430"/>
      <c r="D534" s="1427"/>
      <c r="E534" s="1427"/>
      <c r="F534" s="1427"/>
      <c r="G534" s="1427"/>
      <c r="H534" s="1427"/>
      <c r="N534" s="1727"/>
    </row>
    <row r="535" spans="1:14" x14ac:dyDescent="0.2">
      <c r="A535" s="1424"/>
      <c r="B535" s="1427"/>
      <c r="C535" s="1430"/>
      <c r="D535" s="1427"/>
      <c r="E535" s="1427"/>
      <c r="F535" s="1427"/>
      <c r="G535" s="1427"/>
      <c r="H535" s="1427"/>
      <c r="N535" s="1727"/>
    </row>
    <row r="536" spans="1:14" x14ac:dyDescent="0.2">
      <c r="A536" s="1424"/>
      <c r="B536" s="1427"/>
      <c r="C536" s="1430"/>
      <c r="D536" s="1427"/>
      <c r="E536" s="1427"/>
      <c r="F536" s="1427"/>
      <c r="G536" s="1427"/>
      <c r="H536" s="1427"/>
      <c r="N536" s="1727"/>
    </row>
    <row r="537" spans="1:14" x14ac:dyDescent="0.2">
      <c r="A537" s="1424"/>
      <c r="B537" s="1427"/>
      <c r="C537" s="1430"/>
      <c r="D537" s="1427"/>
      <c r="E537" s="1427"/>
      <c r="F537" s="1427"/>
      <c r="G537" s="1427"/>
      <c r="H537" s="1427"/>
      <c r="N537" s="1727"/>
    </row>
    <row r="538" spans="1:14" x14ac:dyDescent="0.2">
      <c r="A538" s="1424"/>
      <c r="B538" s="1427"/>
      <c r="C538" s="1430"/>
      <c r="D538" s="1427"/>
      <c r="E538" s="1427"/>
      <c r="F538" s="1427"/>
      <c r="G538" s="1427"/>
      <c r="H538" s="1427"/>
      <c r="N538" s="1727"/>
    </row>
    <row r="539" spans="1:14" x14ac:dyDescent="0.2">
      <c r="A539" s="1424"/>
      <c r="B539" s="1427"/>
      <c r="C539" s="1430"/>
      <c r="D539" s="1427"/>
      <c r="E539" s="1427"/>
      <c r="F539" s="1427"/>
      <c r="G539" s="1427"/>
      <c r="H539" s="1427"/>
      <c r="N539" s="1727"/>
    </row>
    <row r="540" spans="1:14" x14ac:dyDescent="0.2">
      <c r="A540" s="1424"/>
      <c r="B540" s="1427"/>
      <c r="C540" s="1430"/>
      <c r="D540" s="1427"/>
      <c r="E540" s="1427"/>
      <c r="F540" s="1427"/>
      <c r="G540" s="1427"/>
      <c r="H540" s="1427"/>
      <c r="N540" s="1727"/>
    </row>
    <row r="541" spans="1:14" ht="13.5" thickBot="1" x14ac:dyDescent="0.25">
      <c r="A541" s="1424"/>
      <c r="B541" s="1427"/>
      <c r="C541" s="1430"/>
      <c r="D541" s="1427"/>
      <c r="E541" s="1427"/>
      <c r="F541" s="1427"/>
      <c r="G541" s="1427"/>
      <c r="H541" s="1427"/>
      <c r="N541" s="1727"/>
    </row>
    <row r="542" spans="1:14" x14ac:dyDescent="0.2">
      <c r="A542" s="1733"/>
      <c r="B542" s="1736"/>
      <c r="C542" s="1737"/>
      <c r="D542" s="1736"/>
      <c r="E542" s="1736"/>
      <c r="F542" s="1736"/>
      <c r="G542" s="1736"/>
      <c r="H542" s="1736"/>
      <c r="I542" s="1736"/>
      <c r="J542" s="1736"/>
      <c r="K542" s="1736"/>
      <c r="L542" s="1736"/>
      <c r="M542" s="1736"/>
      <c r="N542" s="1738"/>
    </row>
    <row r="543" spans="1:14" x14ac:dyDescent="0.2">
      <c r="A543" s="1734"/>
      <c r="B543" s="1427"/>
      <c r="C543" s="1430"/>
      <c r="D543" s="1427"/>
      <c r="E543" s="1427"/>
      <c r="F543" s="1427"/>
      <c r="G543" s="1427"/>
      <c r="H543" s="1427"/>
      <c r="N543" s="1739"/>
    </row>
    <row r="544" spans="1:14" x14ac:dyDescent="0.2">
      <c r="A544" s="1734"/>
      <c r="B544" s="1427"/>
      <c r="C544" s="1430"/>
      <c r="D544" s="1427"/>
      <c r="E544" s="1427"/>
      <c r="F544" s="1427"/>
      <c r="G544" s="1427"/>
      <c r="H544" s="1427"/>
      <c r="N544" s="1739"/>
    </row>
    <row r="545" spans="1:14" x14ac:dyDescent="0.2">
      <c r="A545" s="1734"/>
      <c r="B545" s="1427"/>
      <c r="C545" s="1430"/>
      <c r="D545" s="1427"/>
      <c r="E545" s="1427"/>
      <c r="F545" s="1427"/>
      <c r="G545" s="1427"/>
      <c r="H545" s="1427"/>
      <c r="N545" s="1739"/>
    </row>
    <row r="546" spans="1:14" x14ac:dyDescent="0.2">
      <c r="A546" s="1734"/>
      <c r="B546" s="1427"/>
      <c r="C546" s="1430"/>
      <c r="D546" s="1427"/>
      <c r="E546" s="1427"/>
      <c r="F546" s="1427"/>
      <c r="G546" s="1427"/>
      <c r="H546" s="1427"/>
      <c r="N546" s="1739"/>
    </row>
    <row r="547" spans="1:14" x14ac:dyDescent="0.2">
      <c r="A547" s="1734"/>
      <c r="B547" s="1427"/>
      <c r="C547" s="1430"/>
      <c r="D547" s="1427"/>
      <c r="E547" s="1427"/>
      <c r="F547" s="1427"/>
      <c r="G547" s="1427"/>
      <c r="H547" s="1427"/>
      <c r="N547" s="1739"/>
    </row>
    <row r="548" spans="1:14" x14ac:dyDescent="0.2">
      <c r="A548" s="1734"/>
      <c r="B548" s="1427"/>
      <c r="C548" s="1430"/>
      <c r="D548" s="1427"/>
      <c r="E548" s="1427"/>
      <c r="F548" s="1427"/>
      <c r="G548" s="1427"/>
      <c r="H548" s="1427"/>
      <c r="N548" s="1739"/>
    </row>
    <row r="549" spans="1:14" ht="13.5" thickBot="1" x14ac:dyDescent="0.25">
      <c r="A549" s="1732"/>
      <c r="B549" s="1740"/>
      <c r="C549" s="1741"/>
      <c r="D549" s="1740"/>
      <c r="E549" s="1740"/>
      <c r="F549" s="1740"/>
      <c r="G549" s="1740"/>
      <c r="H549" s="1740"/>
      <c r="I549" s="1740"/>
      <c r="J549" s="1740"/>
      <c r="K549" s="1740"/>
      <c r="L549" s="1740"/>
      <c r="M549" s="1740"/>
      <c r="N549" s="1742"/>
    </row>
    <row r="550" spans="1:14" x14ac:dyDescent="0.2">
      <c r="A550" s="1733"/>
      <c r="B550" s="1736"/>
      <c r="C550" s="1737"/>
      <c r="D550" s="1736"/>
      <c r="E550" s="1736"/>
      <c r="F550" s="1736"/>
      <c r="G550" s="1736"/>
      <c r="H550" s="1736"/>
      <c r="I550" s="1736"/>
      <c r="J550" s="1736"/>
      <c r="K550" s="1736"/>
      <c r="L550" s="1736"/>
      <c r="M550" s="1736"/>
      <c r="N550" s="1738"/>
    </row>
    <row r="551" spans="1:14" x14ac:dyDescent="0.2">
      <c r="A551" s="1734"/>
      <c r="B551" s="1427"/>
      <c r="C551" s="1430"/>
      <c r="D551" s="1427"/>
      <c r="E551" s="1427"/>
      <c r="F551" s="1427"/>
      <c r="G551" s="1427"/>
      <c r="H551" s="1427"/>
      <c r="N551" s="1739"/>
    </row>
    <row r="552" spans="1:14" x14ac:dyDescent="0.2">
      <c r="A552" s="1734"/>
      <c r="B552" s="1427"/>
      <c r="C552" s="1430"/>
      <c r="D552" s="1427"/>
      <c r="E552" s="1427"/>
      <c r="F552" s="1427"/>
      <c r="G552" s="1427"/>
      <c r="H552" s="1427"/>
      <c r="N552" s="1739"/>
    </row>
    <row r="553" spans="1:14" ht="13.5" thickBot="1" x14ac:dyDescent="0.25">
      <c r="A553" s="1732"/>
      <c r="B553" s="1740"/>
      <c r="C553" s="1741"/>
      <c r="D553" s="1740"/>
      <c r="E553" s="1740"/>
      <c r="F553" s="1740"/>
      <c r="G553" s="1740"/>
      <c r="H553" s="1740"/>
      <c r="I553" s="1740"/>
      <c r="J553" s="1740"/>
      <c r="K553" s="1740"/>
      <c r="L553" s="1740"/>
      <c r="M553" s="1740"/>
      <c r="N553" s="1742"/>
    </row>
    <row r="554" spans="1:14" x14ac:dyDescent="0.2">
      <c r="A554" s="1424"/>
      <c r="B554" s="1427"/>
      <c r="C554" s="1430"/>
      <c r="D554" s="1427"/>
      <c r="E554" s="1427"/>
      <c r="F554" s="1427"/>
      <c r="G554" s="1427"/>
      <c r="H554" s="1427"/>
      <c r="N554" s="1727"/>
    </row>
    <row r="555" spans="1:14" x14ac:dyDescent="0.2">
      <c r="A555" s="1424"/>
      <c r="B555" s="1427"/>
      <c r="C555" s="1430"/>
      <c r="D555" s="1427"/>
      <c r="E555" s="1427"/>
      <c r="F555" s="1427"/>
      <c r="G555" s="1427"/>
      <c r="H555" s="1427"/>
      <c r="N555" s="1727"/>
    </row>
    <row r="556" spans="1:14" x14ac:dyDescent="0.2">
      <c r="A556" s="1424"/>
      <c r="B556" s="1427"/>
      <c r="C556" s="1430"/>
      <c r="D556" s="1427"/>
      <c r="E556" s="1427"/>
      <c r="F556" s="1427"/>
      <c r="G556" s="1427"/>
      <c r="H556" s="1427"/>
      <c r="N556" s="1727"/>
    </row>
    <row r="557" spans="1:14" x14ac:dyDescent="0.2">
      <c r="A557" s="1424"/>
      <c r="B557" s="1427"/>
      <c r="C557" s="1430"/>
      <c r="D557" s="1427"/>
      <c r="E557" s="1427"/>
      <c r="F557" s="1427"/>
      <c r="G557" s="1427"/>
      <c r="H557" s="1427"/>
      <c r="N557" s="1727"/>
    </row>
    <row r="558" spans="1:14" x14ac:dyDescent="0.2">
      <c r="A558" s="1424"/>
      <c r="B558" s="1427"/>
      <c r="C558" s="1430"/>
      <c r="D558" s="1427"/>
      <c r="E558" s="1427"/>
      <c r="F558" s="1427"/>
      <c r="G558" s="1427"/>
      <c r="H558" s="1427"/>
      <c r="N558" s="1727"/>
    </row>
    <row r="559" spans="1:14" x14ac:dyDescent="0.2">
      <c r="A559" s="1424"/>
      <c r="B559" s="1427"/>
      <c r="C559" s="1430"/>
      <c r="D559" s="1427"/>
      <c r="E559" s="1427"/>
      <c r="F559" s="1427"/>
      <c r="G559" s="1427"/>
      <c r="H559" s="1427"/>
      <c r="N559" s="1727"/>
    </row>
    <row r="560" spans="1:14" x14ac:dyDescent="0.2">
      <c r="A560" s="1424"/>
      <c r="B560" s="1427"/>
      <c r="C560" s="1430"/>
      <c r="D560" s="1427"/>
      <c r="E560" s="1427"/>
      <c r="F560" s="1427"/>
      <c r="G560" s="1427"/>
      <c r="H560" s="1427"/>
      <c r="N560" s="1727"/>
    </row>
    <row r="561" spans="1:14" x14ac:dyDescent="0.2">
      <c r="A561" s="1424"/>
      <c r="B561" s="1427"/>
      <c r="C561" s="1430"/>
      <c r="D561" s="1427"/>
      <c r="E561" s="1427"/>
      <c r="F561" s="1427"/>
      <c r="G561" s="1427"/>
      <c r="H561" s="1427"/>
      <c r="N561" s="1727"/>
    </row>
    <row r="562" spans="1:14" x14ac:dyDescent="0.2">
      <c r="A562" s="1424"/>
      <c r="B562" s="1427"/>
      <c r="C562" s="1430"/>
      <c r="D562" s="1427"/>
      <c r="E562" s="1427"/>
      <c r="F562" s="1427"/>
      <c r="G562" s="1427"/>
      <c r="H562" s="1427"/>
      <c r="N562" s="1727"/>
    </row>
    <row r="563" spans="1:14" x14ac:dyDescent="0.2">
      <c r="A563" s="1424"/>
      <c r="B563" s="1427"/>
      <c r="C563" s="1430"/>
      <c r="D563" s="1427"/>
      <c r="E563" s="1427"/>
      <c r="F563" s="1427"/>
      <c r="G563" s="1427"/>
      <c r="H563" s="1427"/>
      <c r="N563" s="1727"/>
    </row>
    <row r="564" spans="1:14" x14ac:dyDescent="0.2">
      <c r="A564" s="1424"/>
      <c r="B564" s="1427"/>
      <c r="C564" s="1430"/>
      <c r="D564" s="1427"/>
      <c r="E564" s="1427"/>
      <c r="F564" s="1427"/>
      <c r="G564" s="1427"/>
      <c r="H564" s="1427"/>
      <c r="N564" s="1727"/>
    </row>
    <row r="565" spans="1:14" x14ac:dyDescent="0.2">
      <c r="A565" s="1424"/>
      <c r="B565" s="1427"/>
      <c r="C565" s="1430"/>
      <c r="D565" s="1427"/>
      <c r="E565" s="1427"/>
      <c r="F565" s="1427"/>
      <c r="G565" s="1427"/>
      <c r="H565" s="1427"/>
      <c r="N565" s="1727"/>
    </row>
    <row r="566" spans="1:14" x14ac:dyDescent="0.2">
      <c r="A566" s="1424"/>
      <c r="B566" s="1427"/>
      <c r="C566" s="1430"/>
      <c r="D566" s="1427"/>
      <c r="E566" s="1427"/>
      <c r="F566" s="1427"/>
      <c r="G566" s="1427"/>
      <c r="H566" s="1427"/>
      <c r="N566" s="1727"/>
    </row>
    <row r="567" spans="1:14" x14ac:dyDescent="0.2">
      <c r="A567" s="1424"/>
      <c r="B567" s="1427"/>
      <c r="C567" s="1430"/>
      <c r="D567" s="1427"/>
      <c r="E567" s="1427"/>
      <c r="F567" s="1427"/>
      <c r="G567" s="1427"/>
      <c r="H567" s="1427"/>
      <c r="N567" s="1727"/>
    </row>
    <row r="568" spans="1:14" x14ac:dyDescent="0.2">
      <c r="A568" s="1424"/>
      <c r="B568" s="1427"/>
      <c r="C568" s="1430"/>
      <c r="D568" s="1427"/>
      <c r="E568" s="1427"/>
      <c r="F568" s="1427"/>
      <c r="G568" s="1427"/>
      <c r="H568" s="1427"/>
      <c r="N568" s="1727"/>
    </row>
    <row r="569" spans="1:14" x14ac:dyDescent="0.2">
      <c r="A569" s="1424"/>
      <c r="B569" s="1427"/>
      <c r="C569" s="1430"/>
      <c r="D569" s="1427"/>
      <c r="E569" s="1427"/>
      <c r="F569" s="1427"/>
      <c r="G569" s="1427"/>
      <c r="H569" s="1427"/>
      <c r="N569" s="1727"/>
    </row>
    <row r="570" spans="1:14" x14ac:dyDescent="0.2">
      <c r="A570" s="1424"/>
      <c r="B570" s="1427"/>
      <c r="C570" s="1430"/>
      <c r="D570" s="1427"/>
      <c r="E570" s="1427"/>
      <c r="F570" s="1427"/>
      <c r="G570" s="1427"/>
      <c r="H570" s="1427"/>
      <c r="N570" s="1727"/>
    </row>
    <row r="571" spans="1:14" x14ac:dyDescent="0.2">
      <c r="A571" s="1424"/>
      <c r="B571" s="1427"/>
      <c r="C571" s="1430"/>
      <c r="D571" s="1427"/>
      <c r="E571" s="1427"/>
      <c r="F571" s="1427"/>
      <c r="G571" s="1427"/>
      <c r="H571" s="1427"/>
      <c r="N571" s="1727"/>
    </row>
    <row r="572" spans="1:14" x14ac:dyDescent="0.2">
      <c r="A572" s="1424"/>
      <c r="B572" s="1427"/>
      <c r="C572" s="1430"/>
      <c r="D572" s="1427"/>
      <c r="E572" s="1427"/>
      <c r="F572" s="1427"/>
      <c r="G572" s="1427"/>
      <c r="H572" s="1427"/>
      <c r="N572" s="1727"/>
    </row>
    <row r="573" spans="1:14" x14ac:dyDescent="0.2">
      <c r="A573" s="1424"/>
      <c r="B573" s="1427"/>
      <c r="C573" s="1430"/>
      <c r="D573" s="1427"/>
      <c r="E573" s="1427"/>
      <c r="F573" s="1427"/>
      <c r="G573" s="1427"/>
      <c r="H573" s="1427"/>
      <c r="N573" s="1727"/>
    </row>
    <row r="574" spans="1:14" x14ac:dyDescent="0.2">
      <c r="A574" s="1424"/>
      <c r="B574" s="1427"/>
      <c r="C574" s="1430"/>
      <c r="D574" s="1427"/>
      <c r="E574" s="1427"/>
      <c r="F574" s="1427"/>
      <c r="G574" s="1427"/>
      <c r="H574" s="1427"/>
      <c r="N574" s="1727"/>
    </row>
    <row r="575" spans="1:14" x14ac:dyDescent="0.2">
      <c r="A575" s="1424"/>
      <c r="B575" s="1427"/>
      <c r="C575" s="1430"/>
      <c r="D575" s="1427"/>
      <c r="E575" s="1427"/>
      <c r="F575" s="1427"/>
      <c r="G575" s="1427"/>
      <c r="H575" s="1427"/>
      <c r="N575" s="1727"/>
    </row>
    <row r="576" spans="1:14" x14ac:dyDescent="0.2">
      <c r="A576" s="1424"/>
      <c r="B576" s="1427"/>
      <c r="C576" s="1430"/>
      <c r="D576" s="1427"/>
      <c r="E576" s="1427"/>
      <c r="F576" s="1427"/>
      <c r="G576" s="1427"/>
      <c r="H576" s="1427"/>
      <c r="N576" s="1727"/>
    </row>
    <row r="577" spans="1:14" x14ac:dyDescent="0.2">
      <c r="A577" s="1424"/>
      <c r="B577" s="1427"/>
      <c r="C577" s="1430"/>
      <c r="D577" s="1427"/>
      <c r="E577" s="1427"/>
      <c r="F577" s="1427"/>
      <c r="G577" s="1427"/>
      <c r="H577" s="1427"/>
      <c r="N577" s="1727"/>
    </row>
    <row r="578" spans="1:14" x14ac:dyDescent="0.2">
      <c r="A578" s="1424"/>
      <c r="B578" s="1427"/>
      <c r="C578" s="1430"/>
      <c r="D578" s="1427"/>
      <c r="E578" s="1427"/>
      <c r="F578" s="1427"/>
      <c r="G578" s="1427"/>
      <c r="H578" s="1427"/>
      <c r="N578" s="1727"/>
    </row>
    <row r="579" spans="1:14" x14ac:dyDescent="0.2">
      <c r="A579" s="1424"/>
      <c r="B579" s="1427"/>
      <c r="C579" s="1430"/>
      <c r="D579" s="1427"/>
      <c r="E579" s="1427"/>
      <c r="F579" s="1427"/>
      <c r="G579" s="1427"/>
      <c r="H579" s="1427"/>
      <c r="N579" s="1727"/>
    </row>
    <row r="580" spans="1:14" x14ac:dyDescent="0.2">
      <c r="A580" s="1424"/>
      <c r="B580" s="1427"/>
      <c r="C580" s="1430"/>
      <c r="D580" s="1427"/>
      <c r="E580" s="1427"/>
      <c r="F580" s="1427"/>
      <c r="G580" s="1427"/>
      <c r="H580" s="1427"/>
      <c r="N580" s="1727"/>
    </row>
    <row r="581" spans="1:14" x14ac:dyDescent="0.2">
      <c r="A581" s="1424"/>
      <c r="B581" s="1427"/>
      <c r="C581" s="1430"/>
      <c r="D581" s="1427"/>
      <c r="E581" s="1427"/>
      <c r="F581" s="1427"/>
      <c r="G581" s="1427"/>
      <c r="H581" s="1427"/>
      <c r="N581" s="1727"/>
    </row>
    <row r="582" spans="1:14" x14ac:dyDescent="0.2">
      <c r="A582" s="1424"/>
      <c r="B582" s="1427"/>
      <c r="C582" s="1430"/>
      <c r="D582" s="1427"/>
      <c r="E582" s="1427"/>
      <c r="F582" s="1427"/>
      <c r="G582" s="1427"/>
      <c r="H582" s="1427"/>
      <c r="N582" s="1727"/>
    </row>
    <row r="583" spans="1:14" x14ac:dyDescent="0.2">
      <c r="A583" s="1424"/>
      <c r="B583" s="1427"/>
      <c r="C583" s="1430"/>
      <c r="D583" s="1427"/>
      <c r="E583" s="1427"/>
      <c r="F583" s="1427"/>
      <c r="G583" s="1427"/>
      <c r="H583" s="1427"/>
      <c r="N583" s="1727"/>
    </row>
    <row r="584" spans="1:14" x14ac:dyDescent="0.2">
      <c r="A584" s="1424"/>
      <c r="B584" s="1427"/>
      <c r="C584" s="1430"/>
      <c r="D584" s="1427"/>
      <c r="E584" s="1427"/>
      <c r="F584" s="1427"/>
      <c r="G584" s="1427"/>
      <c r="H584" s="1427"/>
      <c r="N584" s="1727"/>
    </row>
    <row r="585" spans="1:14" x14ac:dyDescent="0.2">
      <c r="A585" s="1424"/>
      <c r="B585" s="1427"/>
      <c r="C585" s="1430"/>
      <c r="D585" s="1427"/>
      <c r="E585" s="1427"/>
      <c r="F585" s="1427"/>
      <c r="G585" s="1427"/>
      <c r="H585" s="1427"/>
      <c r="N585" s="1727"/>
    </row>
    <row r="586" spans="1:14" x14ac:dyDescent="0.2">
      <c r="A586" s="1424"/>
      <c r="B586" s="1427"/>
      <c r="C586" s="1430"/>
      <c r="D586" s="1427"/>
      <c r="E586" s="1427"/>
      <c r="F586" s="1427"/>
      <c r="G586" s="1427"/>
      <c r="H586" s="1427"/>
      <c r="N586" s="1727"/>
    </row>
    <row r="587" spans="1:14" x14ac:dyDescent="0.2">
      <c r="A587" s="1424"/>
      <c r="B587" s="1427"/>
      <c r="C587" s="1430"/>
      <c r="D587" s="1427"/>
      <c r="E587" s="1427"/>
      <c r="F587" s="1427"/>
      <c r="G587" s="1427"/>
      <c r="H587" s="1427"/>
      <c r="N587" s="1727"/>
    </row>
    <row r="588" spans="1:14" x14ac:dyDescent="0.2">
      <c r="A588" s="1424"/>
      <c r="B588" s="1427"/>
      <c r="C588" s="1430"/>
      <c r="D588" s="1427"/>
      <c r="E588" s="1427"/>
      <c r="F588" s="1427"/>
      <c r="G588" s="1427"/>
      <c r="H588" s="1427"/>
      <c r="N588" s="1727"/>
    </row>
    <row r="589" spans="1:14" x14ac:dyDescent="0.2">
      <c r="A589" s="1424"/>
      <c r="B589" s="1427"/>
      <c r="C589" s="1430"/>
      <c r="D589" s="1427"/>
      <c r="E589" s="1427"/>
      <c r="F589" s="1427"/>
      <c r="G589" s="1427"/>
      <c r="H589" s="1427"/>
      <c r="N589" s="1727"/>
    </row>
    <row r="590" spans="1:14" x14ac:dyDescent="0.2">
      <c r="A590" s="1424"/>
      <c r="B590" s="1427"/>
      <c r="C590" s="1430"/>
      <c r="D590" s="1427"/>
      <c r="E590" s="1427"/>
      <c r="F590" s="1427"/>
      <c r="G590" s="1427"/>
      <c r="H590" s="1427"/>
      <c r="N590" s="1727"/>
    </row>
    <row r="591" spans="1:14" x14ac:dyDescent="0.2">
      <c r="A591" s="1424"/>
      <c r="B591" s="1427"/>
      <c r="C591" s="1430"/>
      <c r="D591" s="1427"/>
      <c r="E591" s="1427"/>
      <c r="F591" s="1427"/>
      <c r="G591" s="1427"/>
      <c r="H591" s="1427"/>
      <c r="N591" s="1727"/>
    </row>
    <row r="592" spans="1:14" x14ac:dyDescent="0.2">
      <c r="A592" s="1424"/>
      <c r="B592" s="1427"/>
      <c r="C592" s="1430"/>
      <c r="D592" s="1427"/>
      <c r="E592" s="1427"/>
      <c r="F592" s="1427"/>
      <c r="G592" s="1427"/>
      <c r="H592" s="1427"/>
      <c r="N592" s="1727"/>
    </row>
    <row r="593" spans="1:14" x14ac:dyDescent="0.2">
      <c r="A593" s="1424"/>
      <c r="B593" s="1427"/>
      <c r="C593" s="1430"/>
      <c r="D593" s="1427"/>
      <c r="E593" s="1427"/>
      <c r="F593" s="1427"/>
      <c r="G593" s="1427"/>
      <c r="H593" s="1427"/>
      <c r="N593" s="1727"/>
    </row>
    <row r="594" spans="1:14" x14ac:dyDescent="0.2">
      <c r="A594" s="1424"/>
      <c r="B594" s="1427"/>
      <c r="C594" s="1430"/>
      <c r="D594" s="1427"/>
      <c r="E594" s="1427"/>
      <c r="F594" s="1427"/>
      <c r="G594" s="1427"/>
      <c r="H594" s="1427"/>
      <c r="N594" s="1727"/>
    </row>
    <row r="595" spans="1:14" x14ac:dyDescent="0.2">
      <c r="A595" s="1424"/>
      <c r="B595" s="1427"/>
      <c r="C595" s="1430"/>
      <c r="D595" s="1427"/>
      <c r="E595" s="1427"/>
      <c r="F595" s="1427"/>
      <c r="G595" s="1427"/>
      <c r="H595" s="1427"/>
      <c r="N595" s="1727"/>
    </row>
    <row r="596" spans="1:14" x14ac:dyDescent="0.2">
      <c r="A596" s="1424"/>
      <c r="B596" s="1427"/>
      <c r="C596" s="1430"/>
      <c r="D596" s="1427"/>
      <c r="E596" s="1427"/>
      <c r="F596" s="1427"/>
      <c r="G596" s="1427"/>
      <c r="H596" s="1427"/>
      <c r="N596" s="1727"/>
    </row>
    <row r="597" spans="1:14" x14ac:dyDescent="0.2">
      <c r="A597" s="1424"/>
      <c r="B597" s="1427"/>
      <c r="C597" s="1430"/>
      <c r="D597" s="1427"/>
      <c r="E597" s="1427"/>
      <c r="F597" s="1427"/>
      <c r="G597" s="1427"/>
      <c r="H597" s="1427"/>
      <c r="N597" s="1727"/>
    </row>
    <row r="598" spans="1:14" x14ac:dyDescent="0.2">
      <c r="A598" s="1424"/>
      <c r="B598" s="1427"/>
      <c r="C598" s="1430"/>
      <c r="D598" s="1427"/>
      <c r="E598" s="1427"/>
      <c r="F598" s="1427"/>
      <c r="G598" s="1427"/>
      <c r="H598" s="1427"/>
      <c r="N598" s="1727"/>
    </row>
    <row r="599" spans="1:14" x14ac:dyDescent="0.2">
      <c r="A599" s="1424"/>
      <c r="B599" s="1427"/>
      <c r="C599" s="1430"/>
      <c r="D599" s="1427"/>
      <c r="E599" s="1427"/>
      <c r="F599" s="1427"/>
      <c r="G599" s="1427"/>
      <c r="H599" s="1427"/>
      <c r="N599" s="1727"/>
    </row>
    <row r="600" spans="1:14" x14ac:dyDescent="0.2">
      <c r="A600" s="1424"/>
      <c r="B600" s="1427"/>
      <c r="C600" s="1430"/>
      <c r="D600" s="1427"/>
      <c r="E600" s="1427"/>
      <c r="F600" s="1427"/>
      <c r="G600" s="1427"/>
      <c r="H600" s="1427"/>
      <c r="N600" s="1727"/>
    </row>
    <row r="601" spans="1:14" x14ac:dyDescent="0.2">
      <c r="A601" s="1424"/>
      <c r="B601" s="1427"/>
      <c r="C601" s="1430"/>
      <c r="D601" s="1427"/>
      <c r="E601" s="1427"/>
      <c r="F601" s="1427"/>
      <c r="G601" s="1427"/>
      <c r="H601" s="1427"/>
      <c r="N601" s="1727"/>
    </row>
    <row r="602" spans="1:14" x14ac:dyDescent="0.2">
      <c r="A602" s="1424"/>
      <c r="B602" s="1427"/>
      <c r="C602" s="1430"/>
      <c r="D602" s="1427"/>
      <c r="E602" s="1427"/>
      <c r="F602" s="1427"/>
      <c r="G602" s="1427"/>
      <c r="H602" s="1427"/>
      <c r="N602" s="1727"/>
    </row>
    <row r="603" spans="1:14" x14ac:dyDescent="0.2">
      <c r="A603" s="1424"/>
      <c r="B603" s="1427"/>
      <c r="C603" s="1430"/>
      <c r="D603" s="1427"/>
      <c r="E603" s="1427"/>
      <c r="F603" s="1427"/>
      <c r="G603" s="1427"/>
      <c r="H603" s="1427"/>
      <c r="N603" s="1727"/>
    </row>
    <row r="604" spans="1:14" x14ac:dyDescent="0.2">
      <c r="A604" s="1424"/>
      <c r="B604" s="1427"/>
      <c r="C604" s="1430"/>
      <c r="D604" s="1427"/>
      <c r="E604" s="1427"/>
      <c r="F604" s="1427"/>
      <c r="G604" s="1427"/>
      <c r="H604" s="1427"/>
      <c r="N604" s="1727"/>
    </row>
    <row r="605" spans="1:14" x14ac:dyDescent="0.2">
      <c r="A605" s="1424"/>
      <c r="B605" s="1427"/>
      <c r="C605" s="1430"/>
      <c r="D605" s="1427"/>
      <c r="E605" s="1427"/>
      <c r="F605" s="1427"/>
      <c r="G605" s="1427"/>
      <c r="H605" s="1427"/>
      <c r="N605" s="1727"/>
    </row>
    <row r="606" spans="1:14" x14ac:dyDescent="0.2">
      <c r="A606" s="1424"/>
      <c r="B606" s="1427"/>
      <c r="C606" s="1430"/>
      <c r="D606" s="1427"/>
      <c r="E606" s="1427"/>
      <c r="F606" s="1427"/>
      <c r="G606" s="1427"/>
      <c r="H606" s="1427"/>
      <c r="N606" s="1727"/>
    </row>
    <row r="607" spans="1:14" x14ac:dyDescent="0.2">
      <c r="A607" s="1424"/>
      <c r="B607" s="1427"/>
      <c r="C607" s="1430"/>
      <c r="D607" s="1427"/>
      <c r="E607" s="1427"/>
      <c r="F607" s="1427"/>
      <c r="G607" s="1427"/>
      <c r="H607" s="1427"/>
      <c r="N607" s="1727"/>
    </row>
    <row r="608" spans="1:14" x14ac:dyDescent="0.2">
      <c r="A608" s="1424"/>
      <c r="B608" s="1427"/>
      <c r="C608" s="1430"/>
      <c r="D608" s="1427"/>
      <c r="E608" s="1427"/>
      <c r="F608" s="1427"/>
      <c r="G608" s="1427"/>
      <c r="H608" s="1427"/>
      <c r="N608" s="1727"/>
    </row>
    <row r="609" spans="1:14" x14ac:dyDescent="0.2">
      <c r="A609" s="1424"/>
      <c r="B609" s="1427"/>
      <c r="C609" s="1430"/>
      <c r="D609" s="1427"/>
      <c r="E609" s="1427"/>
      <c r="F609" s="1427"/>
      <c r="G609" s="1427"/>
      <c r="H609" s="1427"/>
      <c r="N609" s="1727"/>
    </row>
    <row r="610" spans="1:14" x14ac:dyDescent="0.2">
      <c r="A610" s="1424"/>
      <c r="B610" s="1427"/>
      <c r="C610" s="1430"/>
      <c r="D610" s="1427"/>
      <c r="E610" s="1427"/>
      <c r="F610" s="1427"/>
      <c r="G610" s="1427"/>
      <c r="H610" s="1427"/>
      <c r="N610" s="1727"/>
    </row>
    <row r="611" spans="1:14" x14ac:dyDescent="0.2">
      <c r="A611" s="1424"/>
      <c r="B611" s="1427"/>
      <c r="C611" s="1430"/>
      <c r="D611" s="1427"/>
      <c r="E611" s="1427"/>
      <c r="F611" s="1427"/>
      <c r="G611" s="1427"/>
      <c r="H611" s="1427"/>
      <c r="N611" s="1727"/>
    </row>
    <row r="612" spans="1:14" x14ac:dyDescent="0.2">
      <c r="A612" s="1424"/>
      <c r="B612" s="1427"/>
      <c r="C612" s="1430"/>
      <c r="D612" s="1427"/>
      <c r="E612" s="1427"/>
      <c r="F612" s="1427"/>
      <c r="G612" s="1427"/>
      <c r="H612" s="1427"/>
      <c r="N612" s="1727"/>
    </row>
    <row r="613" spans="1:14" x14ac:dyDescent="0.2">
      <c r="A613" s="1424"/>
      <c r="B613" s="1427"/>
      <c r="C613" s="1430"/>
      <c r="D613" s="1427"/>
      <c r="E613" s="1427"/>
      <c r="F613" s="1427"/>
      <c r="G613" s="1427"/>
      <c r="H613" s="1427"/>
      <c r="N613" s="1727"/>
    </row>
    <row r="614" spans="1:14" x14ac:dyDescent="0.2">
      <c r="A614" s="1424"/>
      <c r="B614" s="1427"/>
      <c r="C614" s="1430"/>
      <c r="D614" s="1427"/>
      <c r="E614" s="1427"/>
      <c r="F614" s="1427"/>
      <c r="G614" s="1427"/>
      <c r="H614" s="1427"/>
      <c r="N614" s="1727"/>
    </row>
    <row r="615" spans="1:14" x14ac:dyDescent="0.2">
      <c r="A615" s="1424"/>
      <c r="B615" s="1427"/>
      <c r="C615" s="1430"/>
      <c r="D615" s="1427"/>
      <c r="E615" s="1427"/>
      <c r="F615" s="1427"/>
      <c r="G615" s="1427"/>
      <c r="H615" s="1427"/>
      <c r="N615" s="1727"/>
    </row>
    <row r="616" spans="1:14" x14ac:dyDescent="0.2">
      <c r="A616" s="1424"/>
      <c r="B616" s="1427"/>
      <c r="C616" s="1430"/>
      <c r="D616" s="1427"/>
      <c r="E616" s="1427"/>
      <c r="F616" s="1427"/>
      <c r="G616" s="1427"/>
      <c r="H616" s="1427"/>
      <c r="N616" s="1727"/>
    </row>
    <row r="617" spans="1:14" x14ac:dyDescent="0.2">
      <c r="A617" s="1424"/>
      <c r="B617" s="1427"/>
      <c r="C617" s="1430"/>
      <c r="D617" s="1427"/>
      <c r="E617" s="1427"/>
      <c r="F617" s="1427"/>
      <c r="G617" s="1427"/>
      <c r="H617" s="1427"/>
      <c r="N617" s="1727"/>
    </row>
    <row r="618" spans="1:14" x14ac:dyDescent="0.2">
      <c r="A618" s="1424"/>
      <c r="B618" s="1427"/>
      <c r="C618" s="1430"/>
      <c r="D618" s="1427"/>
      <c r="E618" s="1427"/>
      <c r="F618" s="1427"/>
      <c r="G618" s="1427"/>
      <c r="H618" s="1427"/>
      <c r="N618" s="1727"/>
    </row>
    <row r="619" spans="1:14" x14ac:dyDescent="0.2">
      <c r="A619" s="1424"/>
      <c r="B619" s="1427"/>
      <c r="C619" s="1430"/>
      <c r="D619" s="1427"/>
      <c r="E619" s="1427"/>
      <c r="F619" s="1427"/>
      <c r="G619" s="1427"/>
      <c r="H619" s="1427"/>
      <c r="N619" s="1727"/>
    </row>
    <row r="620" spans="1:14" x14ac:dyDescent="0.2">
      <c r="A620" s="1424"/>
      <c r="B620" s="1427"/>
      <c r="C620" s="1430"/>
      <c r="D620" s="1427"/>
      <c r="E620" s="1427"/>
      <c r="F620" s="1427"/>
      <c r="G620" s="1427"/>
      <c r="H620" s="1427"/>
      <c r="N620" s="1727"/>
    </row>
    <row r="621" spans="1:14" x14ac:dyDescent="0.2">
      <c r="A621" s="1424"/>
      <c r="B621" s="1427"/>
      <c r="C621" s="1430"/>
      <c r="D621" s="1427"/>
      <c r="E621" s="1427"/>
      <c r="F621" s="1427"/>
      <c r="G621" s="1427"/>
      <c r="H621" s="1427"/>
      <c r="N621" s="1727"/>
    </row>
    <row r="622" spans="1:14" x14ac:dyDescent="0.2">
      <c r="A622" s="1424"/>
      <c r="B622" s="1427"/>
      <c r="C622" s="1430"/>
      <c r="D622" s="1427"/>
      <c r="E622" s="1427"/>
      <c r="F622" s="1427"/>
      <c r="G622" s="1427"/>
      <c r="H622" s="1427"/>
      <c r="N622" s="1727"/>
    </row>
    <row r="623" spans="1:14" x14ac:dyDescent="0.2">
      <c r="A623" s="1424"/>
      <c r="B623" s="1427"/>
      <c r="C623" s="1430"/>
      <c r="D623" s="1427"/>
      <c r="E623" s="1427"/>
      <c r="F623" s="1427"/>
      <c r="G623" s="1427"/>
      <c r="H623" s="1427"/>
      <c r="N623" s="1727"/>
    </row>
    <row r="624" spans="1:14" x14ac:dyDescent="0.2">
      <c r="A624" s="1424"/>
      <c r="B624" s="1427"/>
      <c r="C624" s="1430"/>
      <c r="D624" s="1427"/>
      <c r="E624" s="1427"/>
      <c r="F624" s="1427"/>
      <c r="G624" s="1427"/>
      <c r="H624" s="1427"/>
      <c r="N624" s="1727"/>
    </row>
    <row r="625" spans="1:14" x14ac:dyDescent="0.2">
      <c r="A625" s="1424"/>
      <c r="B625" s="1427"/>
      <c r="C625" s="1430"/>
      <c r="D625" s="1427"/>
      <c r="E625" s="1427"/>
      <c r="F625" s="1427"/>
      <c r="G625" s="1427"/>
      <c r="H625" s="1427"/>
      <c r="N625" s="1727"/>
    </row>
    <row r="626" spans="1:14" x14ac:dyDescent="0.2">
      <c r="A626" s="1424"/>
      <c r="B626" s="1427"/>
      <c r="C626" s="1430"/>
      <c r="D626" s="1427"/>
      <c r="E626" s="1427"/>
      <c r="F626" s="1427"/>
      <c r="G626" s="1427"/>
      <c r="H626" s="1427"/>
      <c r="N626" s="1727"/>
    </row>
    <row r="627" spans="1:14" x14ac:dyDescent="0.2">
      <c r="A627" s="1424"/>
      <c r="B627" s="1427"/>
      <c r="C627" s="1430"/>
      <c r="D627" s="1427"/>
      <c r="E627" s="1427"/>
      <c r="F627" s="1427"/>
      <c r="G627" s="1427"/>
      <c r="H627" s="1427"/>
      <c r="N627" s="1727"/>
    </row>
    <row r="628" spans="1:14" x14ac:dyDescent="0.2">
      <c r="A628" s="1424"/>
      <c r="B628" s="1427"/>
      <c r="C628" s="1430"/>
      <c r="D628" s="1427"/>
      <c r="E628" s="1427"/>
      <c r="F628" s="1427"/>
      <c r="G628" s="1427"/>
      <c r="H628" s="1427"/>
      <c r="N628" s="1727"/>
    </row>
    <row r="629" spans="1:14" x14ac:dyDescent="0.2">
      <c r="A629" s="1424"/>
      <c r="B629" s="1427"/>
      <c r="C629" s="1430"/>
      <c r="D629" s="1427"/>
      <c r="E629" s="1427"/>
      <c r="F629" s="1427"/>
      <c r="G629" s="1427"/>
      <c r="H629" s="1427"/>
      <c r="N629" s="1727"/>
    </row>
    <row r="630" spans="1:14" x14ac:dyDescent="0.2">
      <c r="A630" s="1424"/>
      <c r="B630" s="1427"/>
      <c r="C630" s="1430"/>
      <c r="D630" s="1427"/>
      <c r="E630" s="1427"/>
      <c r="F630" s="1427"/>
      <c r="G630" s="1427"/>
      <c r="H630" s="1427"/>
      <c r="N630" s="1727"/>
    </row>
    <row r="631" spans="1:14" x14ac:dyDescent="0.2">
      <c r="A631" s="1424"/>
      <c r="B631" s="1427"/>
      <c r="C631" s="1430"/>
      <c r="D631" s="1427"/>
      <c r="E631" s="1427"/>
      <c r="F631" s="1427"/>
      <c r="G631" s="1427"/>
      <c r="H631" s="1427"/>
      <c r="N631" s="1727"/>
    </row>
    <row r="632" spans="1:14" x14ac:dyDescent="0.2">
      <c r="A632" s="1424"/>
      <c r="B632" s="1427"/>
      <c r="C632" s="1430"/>
      <c r="D632" s="1427"/>
      <c r="E632" s="1427"/>
      <c r="F632" s="1427"/>
      <c r="G632" s="1427"/>
      <c r="H632" s="1427"/>
      <c r="N632" s="1727"/>
    </row>
    <row r="633" spans="1:14" x14ac:dyDescent="0.2">
      <c r="A633" s="1424"/>
      <c r="B633" s="1427"/>
      <c r="C633" s="1430"/>
      <c r="D633" s="1427"/>
      <c r="E633" s="1427"/>
      <c r="F633" s="1427"/>
      <c r="G633" s="1427"/>
      <c r="H633" s="1427"/>
      <c r="N633" s="1727"/>
    </row>
    <row r="634" spans="1:14" x14ac:dyDescent="0.2">
      <c r="A634" s="1424"/>
      <c r="B634" s="1427"/>
      <c r="C634" s="1430"/>
      <c r="D634" s="1427"/>
      <c r="E634" s="1427"/>
      <c r="F634" s="1427"/>
      <c r="G634" s="1427"/>
      <c r="H634" s="1427"/>
      <c r="N634" s="1727"/>
    </row>
    <row r="635" spans="1:14" x14ac:dyDescent="0.2">
      <c r="A635" s="1424"/>
      <c r="B635" s="1427"/>
      <c r="C635" s="1430"/>
      <c r="D635" s="1427"/>
      <c r="E635" s="1427"/>
      <c r="F635" s="1427"/>
      <c r="G635" s="1427"/>
      <c r="H635" s="1427"/>
      <c r="N635" s="1727"/>
    </row>
    <row r="636" spans="1:14" x14ac:dyDescent="0.2">
      <c r="A636" s="1424"/>
      <c r="B636" s="1427"/>
      <c r="C636" s="1430"/>
      <c r="D636" s="1427"/>
      <c r="E636" s="1427"/>
      <c r="F636" s="1427"/>
      <c r="G636" s="1427"/>
      <c r="H636" s="1427"/>
      <c r="N636" s="1727"/>
    </row>
    <row r="637" spans="1:14" x14ac:dyDescent="0.2">
      <c r="A637" s="1424"/>
      <c r="B637" s="1427"/>
      <c r="C637" s="1430"/>
      <c r="D637" s="1427"/>
      <c r="E637" s="1427"/>
      <c r="F637" s="1427"/>
      <c r="G637" s="1427"/>
      <c r="H637" s="1427"/>
      <c r="N637" s="1727"/>
    </row>
    <row r="638" spans="1:14" x14ac:dyDescent="0.2">
      <c r="A638" s="1424"/>
      <c r="B638" s="1427"/>
      <c r="C638" s="1430"/>
      <c r="D638" s="1427"/>
      <c r="E638" s="1427"/>
      <c r="F638" s="1427"/>
      <c r="G638" s="1427"/>
      <c r="H638" s="1427"/>
      <c r="N638" s="1727"/>
    </row>
    <row r="639" spans="1:14" x14ac:dyDescent="0.2">
      <c r="A639" s="1424"/>
      <c r="B639" s="1427"/>
      <c r="C639" s="1430"/>
      <c r="D639" s="1427"/>
      <c r="E639" s="1427"/>
      <c r="F639" s="1427"/>
      <c r="G639" s="1427"/>
      <c r="H639" s="1427"/>
      <c r="N639" s="1727"/>
    </row>
    <row r="640" spans="1:14" x14ac:dyDescent="0.2">
      <c r="A640" s="1424"/>
      <c r="B640" s="1427"/>
      <c r="C640" s="1430"/>
      <c r="D640" s="1427"/>
      <c r="E640" s="1427"/>
      <c r="F640" s="1427"/>
      <c r="G640" s="1427"/>
      <c r="H640" s="1427"/>
      <c r="N640" s="1727"/>
    </row>
    <row r="641" spans="1:14" x14ac:dyDescent="0.2">
      <c r="A641" s="1424"/>
      <c r="B641" s="1427"/>
      <c r="C641" s="1430"/>
      <c r="D641" s="1427"/>
      <c r="E641" s="1427"/>
      <c r="F641" s="1427"/>
      <c r="G641" s="1427"/>
      <c r="H641" s="1427"/>
      <c r="N641" s="1727"/>
    </row>
    <row r="642" spans="1:14" x14ac:dyDescent="0.2">
      <c r="A642" s="1424"/>
      <c r="B642" s="1427"/>
      <c r="C642" s="1430"/>
      <c r="D642" s="1427"/>
      <c r="E642" s="1427"/>
      <c r="F642" s="1427"/>
      <c r="G642" s="1427"/>
      <c r="H642" s="1427"/>
      <c r="N642" s="1727"/>
    </row>
    <row r="643" spans="1:14" x14ac:dyDescent="0.2">
      <c r="A643" s="1424"/>
      <c r="B643" s="1427"/>
      <c r="C643" s="1430"/>
      <c r="D643" s="1427"/>
      <c r="E643" s="1427"/>
      <c r="F643" s="1427"/>
      <c r="G643" s="1427"/>
      <c r="H643" s="1427"/>
      <c r="N643" s="1727"/>
    </row>
    <row r="644" spans="1:14" x14ac:dyDescent="0.2">
      <c r="A644" s="1424"/>
      <c r="B644" s="1427"/>
      <c r="C644" s="1430"/>
      <c r="D644" s="1427"/>
      <c r="E644" s="1427"/>
      <c r="F644" s="1427"/>
      <c r="G644" s="1427"/>
      <c r="H644" s="1427"/>
      <c r="N644" s="1727"/>
    </row>
    <row r="645" spans="1:14" x14ac:dyDescent="0.2">
      <c r="A645" s="1424"/>
      <c r="B645" s="1427"/>
      <c r="C645" s="1430"/>
      <c r="D645" s="1427"/>
      <c r="E645" s="1427"/>
      <c r="F645" s="1427"/>
      <c r="G645" s="1427"/>
      <c r="H645" s="1427"/>
      <c r="N645" s="1727"/>
    </row>
    <row r="646" spans="1:14" x14ac:dyDescent="0.2">
      <c r="A646" s="1424"/>
      <c r="B646" s="1427"/>
      <c r="C646" s="1430"/>
      <c r="D646" s="1427"/>
      <c r="E646" s="1427"/>
      <c r="F646" s="1427"/>
      <c r="G646" s="1427"/>
      <c r="H646" s="1427"/>
      <c r="N646" s="1727"/>
    </row>
    <row r="647" spans="1:14" x14ac:dyDescent="0.2">
      <c r="A647" s="1424"/>
      <c r="B647" s="1427"/>
      <c r="C647" s="1430"/>
      <c r="D647" s="1427"/>
      <c r="E647" s="1427"/>
      <c r="F647" s="1427"/>
      <c r="G647" s="1427"/>
      <c r="H647" s="1427"/>
      <c r="N647" s="1727"/>
    </row>
    <row r="648" spans="1:14" x14ac:dyDescent="0.2">
      <c r="A648" s="1424"/>
      <c r="B648" s="1427"/>
      <c r="C648" s="1430"/>
      <c r="D648" s="1427"/>
      <c r="E648" s="1427"/>
      <c r="F648" s="1427"/>
      <c r="G648" s="1427"/>
      <c r="H648" s="1427"/>
      <c r="N648" s="1727"/>
    </row>
    <row r="649" spans="1:14" x14ac:dyDescent="0.2">
      <c r="A649" s="1424"/>
      <c r="B649" s="1427"/>
      <c r="C649" s="1430"/>
      <c r="D649" s="1427"/>
      <c r="E649" s="1427"/>
      <c r="F649" s="1427"/>
      <c r="G649" s="1427"/>
      <c r="H649" s="1427"/>
      <c r="N649" s="1727"/>
    </row>
    <row r="650" spans="1:14" x14ac:dyDescent="0.2">
      <c r="A650" s="1424"/>
      <c r="B650" s="1427"/>
      <c r="C650" s="1430"/>
      <c r="D650" s="1427"/>
      <c r="E650" s="1427"/>
      <c r="F650" s="1427"/>
      <c r="G650" s="1427"/>
      <c r="H650" s="1427"/>
      <c r="N650" s="1727"/>
    </row>
    <row r="651" spans="1:14" x14ac:dyDescent="0.2">
      <c r="A651" s="1424"/>
      <c r="B651" s="1427"/>
      <c r="C651" s="1430"/>
      <c r="D651" s="1427"/>
      <c r="E651" s="1427"/>
      <c r="F651" s="1427"/>
      <c r="G651" s="1427"/>
      <c r="H651" s="1427"/>
      <c r="N651" s="1727"/>
    </row>
    <row r="652" spans="1:14" x14ac:dyDescent="0.2">
      <c r="A652" s="1424"/>
      <c r="B652" s="1427"/>
      <c r="C652" s="1430"/>
      <c r="D652" s="1427"/>
      <c r="E652" s="1427"/>
      <c r="F652" s="1427"/>
      <c r="G652" s="1427"/>
      <c r="H652" s="1427"/>
      <c r="N652" s="1727"/>
    </row>
    <row r="653" spans="1:14" x14ac:dyDescent="0.2">
      <c r="A653" s="1424"/>
      <c r="B653" s="1427"/>
      <c r="C653" s="1430"/>
      <c r="D653" s="1427"/>
      <c r="E653" s="1427"/>
      <c r="F653" s="1427"/>
      <c r="G653" s="1427"/>
      <c r="H653" s="1427"/>
      <c r="N653" s="1727"/>
    </row>
    <row r="654" spans="1:14" x14ac:dyDescent="0.2">
      <c r="A654" s="1424"/>
      <c r="B654" s="1427"/>
      <c r="C654" s="1430"/>
      <c r="D654" s="1427"/>
      <c r="E654" s="1427"/>
      <c r="F654" s="1427"/>
      <c r="G654" s="1427"/>
      <c r="H654" s="1427"/>
      <c r="N654" s="1727"/>
    </row>
    <row r="655" spans="1:14" x14ac:dyDescent="0.2">
      <c r="A655" s="1424"/>
      <c r="B655" s="1427"/>
      <c r="C655" s="1430"/>
      <c r="D655" s="1427"/>
      <c r="E655" s="1427"/>
      <c r="F655" s="1427"/>
      <c r="G655" s="1427"/>
      <c r="H655" s="1427"/>
      <c r="N655" s="1727"/>
    </row>
    <row r="656" spans="1:14" x14ac:dyDescent="0.2">
      <c r="A656" s="1424"/>
      <c r="B656" s="1427"/>
      <c r="C656" s="1430"/>
      <c r="D656" s="1427"/>
      <c r="E656" s="1427"/>
      <c r="F656" s="1427"/>
      <c r="G656" s="1427"/>
      <c r="H656" s="1427"/>
      <c r="N656" s="1727"/>
    </row>
    <row r="657" spans="1:14" x14ac:dyDescent="0.2">
      <c r="A657" s="1424"/>
      <c r="B657" s="1427"/>
      <c r="C657" s="1430"/>
      <c r="D657" s="1427"/>
      <c r="E657" s="1427"/>
      <c r="F657" s="1427"/>
      <c r="G657" s="1427"/>
      <c r="H657" s="1427"/>
      <c r="N657" s="1727"/>
    </row>
    <row r="658" spans="1:14" x14ac:dyDescent="0.2">
      <c r="A658" s="1424"/>
      <c r="B658" s="1427"/>
      <c r="C658" s="1430"/>
      <c r="D658" s="1427"/>
      <c r="E658" s="1427"/>
      <c r="F658" s="1427"/>
      <c r="G658" s="1427"/>
      <c r="H658" s="1427"/>
      <c r="N658" s="1727"/>
    </row>
    <row r="659" spans="1:14" x14ac:dyDescent="0.2">
      <c r="A659" s="1424"/>
      <c r="B659" s="1427"/>
      <c r="C659" s="1430"/>
      <c r="D659" s="1427"/>
      <c r="E659" s="1427"/>
      <c r="F659" s="1427"/>
      <c r="G659" s="1427"/>
      <c r="H659" s="1427"/>
      <c r="N659" s="1727"/>
    </row>
    <row r="660" spans="1:14" x14ac:dyDescent="0.2">
      <c r="A660" s="1424"/>
      <c r="B660" s="1427"/>
      <c r="C660" s="1430"/>
      <c r="D660" s="1427"/>
      <c r="E660" s="1427"/>
      <c r="F660" s="1427"/>
      <c r="G660" s="1427"/>
      <c r="H660" s="1427"/>
      <c r="N660" s="1727"/>
    </row>
    <row r="661" spans="1:14" x14ac:dyDescent="0.2">
      <c r="A661" s="1424"/>
      <c r="B661" s="1427"/>
      <c r="C661" s="1430"/>
      <c r="D661" s="1427"/>
      <c r="E661" s="1427"/>
      <c r="F661" s="1427"/>
      <c r="G661" s="1427"/>
      <c r="H661" s="1427"/>
      <c r="N661" s="1727"/>
    </row>
    <row r="662" spans="1:14" x14ac:dyDescent="0.2">
      <c r="A662" s="1424"/>
      <c r="B662" s="1427"/>
      <c r="C662" s="1430"/>
      <c r="D662" s="1427"/>
      <c r="E662" s="1427"/>
      <c r="F662" s="1427"/>
      <c r="G662" s="1427"/>
      <c r="H662" s="1427"/>
      <c r="N662" s="1727"/>
    </row>
    <row r="663" spans="1:14" x14ac:dyDescent="0.2">
      <c r="A663" s="1424"/>
      <c r="B663" s="1427"/>
      <c r="C663" s="1430"/>
      <c r="D663" s="1427"/>
      <c r="E663" s="1427"/>
      <c r="F663" s="1427"/>
      <c r="G663" s="1427"/>
      <c r="H663" s="1427"/>
      <c r="N663" s="1727"/>
    </row>
    <row r="664" spans="1:14" x14ac:dyDescent="0.2">
      <c r="A664" s="1424"/>
      <c r="B664" s="1427"/>
      <c r="C664" s="1430"/>
      <c r="D664" s="1427"/>
      <c r="E664" s="1427"/>
      <c r="F664" s="1427"/>
      <c r="G664" s="1427"/>
      <c r="H664" s="1427"/>
      <c r="N664" s="1727"/>
    </row>
    <row r="665" spans="1:14" x14ac:dyDescent="0.2">
      <c r="A665" s="1424"/>
      <c r="B665" s="1427"/>
      <c r="C665" s="1430"/>
      <c r="D665" s="1427"/>
      <c r="E665" s="1427"/>
      <c r="F665" s="1427"/>
      <c r="G665" s="1427"/>
      <c r="H665" s="1427"/>
      <c r="N665" s="1727"/>
    </row>
    <row r="666" spans="1:14" x14ac:dyDescent="0.2">
      <c r="A666" s="1424"/>
      <c r="B666" s="1427"/>
      <c r="C666" s="1430"/>
      <c r="D666" s="1427"/>
      <c r="E666" s="1427"/>
      <c r="F666" s="1427"/>
      <c r="G666" s="1427"/>
      <c r="H666" s="1427"/>
      <c r="N666" s="1727"/>
    </row>
    <row r="667" spans="1:14" x14ac:dyDescent="0.2">
      <c r="A667" s="1424"/>
      <c r="B667" s="1427"/>
      <c r="C667" s="1430"/>
      <c r="D667" s="1427"/>
      <c r="E667" s="1427"/>
      <c r="F667" s="1427"/>
      <c r="G667" s="1427"/>
      <c r="H667" s="1427"/>
      <c r="N667" s="1727"/>
    </row>
    <row r="668" spans="1:14" x14ac:dyDescent="0.2">
      <c r="A668" s="1424"/>
      <c r="B668" s="1427"/>
      <c r="C668" s="1430"/>
      <c r="D668" s="1427"/>
      <c r="E668" s="1427"/>
      <c r="F668" s="1427"/>
      <c r="G668" s="1427"/>
      <c r="H668" s="1427"/>
      <c r="N668" s="1727"/>
    </row>
    <row r="669" spans="1:14" x14ac:dyDescent="0.2">
      <c r="A669" s="1424"/>
      <c r="B669" s="1427"/>
      <c r="C669" s="1430"/>
      <c r="D669" s="1427"/>
      <c r="E669" s="1427"/>
      <c r="F669" s="1427"/>
      <c r="G669" s="1427"/>
      <c r="H669" s="1427"/>
      <c r="N669" s="1727"/>
    </row>
    <row r="670" spans="1:14" x14ac:dyDescent="0.2">
      <c r="A670" s="1424"/>
      <c r="B670" s="1427"/>
      <c r="C670" s="1430"/>
      <c r="D670" s="1427"/>
      <c r="E670" s="1427"/>
      <c r="F670" s="1427"/>
      <c r="G670" s="1427"/>
      <c r="H670" s="1427"/>
      <c r="N670" s="1727"/>
    </row>
    <row r="671" spans="1:14" x14ac:dyDescent="0.2">
      <c r="A671" s="1424"/>
      <c r="B671" s="1427"/>
      <c r="C671" s="1430"/>
      <c r="D671" s="1427"/>
      <c r="E671" s="1427"/>
      <c r="F671" s="1427"/>
      <c r="G671" s="1427"/>
      <c r="H671" s="1427"/>
      <c r="N671" s="1727"/>
    </row>
    <row r="672" spans="1:14" x14ac:dyDescent="0.2">
      <c r="A672" s="1424"/>
      <c r="B672" s="1427"/>
      <c r="C672" s="1430"/>
      <c r="D672" s="1427"/>
      <c r="E672" s="1427"/>
      <c r="F672" s="1427"/>
      <c r="G672" s="1427"/>
      <c r="H672" s="1427"/>
      <c r="N672" s="1727"/>
    </row>
    <row r="673" spans="1:14" x14ac:dyDescent="0.2">
      <c r="A673" s="1424"/>
      <c r="B673" s="1427"/>
      <c r="C673" s="1430"/>
      <c r="D673" s="1427"/>
      <c r="E673" s="1427"/>
      <c r="F673" s="1427"/>
      <c r="G673" s="1427"/>
      <c r="H673" s="1427"/>
      <c r="N673" s="1727"/>
    </row>
    <row r="674" spans="1:14" x14ac:dyDescent="0.2">
      <c r="A674" s="1424"/>
      <c r="B674" s="1427"/>
      <c r="C674" s="1430"/>
      <c r="D674" s="1427"/>
      <c r="E674" s="1427"/>
      <c r="F674" s="1427"/>
      <c r="G674" s="1427"/>
      <c r="H674" s="1427"/>
      <c r="N674" s="1727"/>
    </row>
    <row r="675" spans="1:14" x14ac:dyDescent="0.2">
      <c r="A675" s="1424"/>
      <c r="B675" s="1427"/>
      <c r="C675" s="1430"/>
      <c r="D675" s="1427"/>
      <c r="E675" s="1427"/>
      <c r="F675" s="1427"/>
      <c r="G675" s="1427"/>
      <c r="H675" s="1427"/>
      <c r="N675" s="1727"/>
    </row>
    <row r="676" spans="1:14" x14ac:dyDescent="0.2">
      <c r="A676" s="1424"/>
      <c r="B676" s="1427"/>
      <c r="C676" s="1430"/>
      <c r="D676" s="1427"/>
      <c r="E676" s="1427"/>
      <c r="F676" s="1427"/>
      <c r="G676" s="1427"/>
      <c r="H676" s="1427"/>
      <c r="N676" s="1727"/>
    </row>
    <row r="677" spans="1:14" x14ac:dyDescent="0.2">
      <c r="A677" s="1424"/>
      <c r="B677" s="1427"/>
      <c r="C677" s="1430"/>
      <c r="D677" s="1427"/>
      <c r="E677" s="1427"/>
      <c r="F677" s="1427"/>
      <c r="G677" s="1427"/>
      <c r="H677" s="1427"/>
      <c r="N677" s="1727"/>
    </row>
    <row r="678" spans="1:14" x14ac:dyDescent="0.2">
      <c r="A678" s="1424"/>
      <c r="B678" s="1427"/>
      <c r="C678" s="1430"/>
      <c r="D678" s="1427"/>
      <c r="E678" s="1427"/>
      <c r="F678" s="1427"/>
      <c r="G678" s="1427"/>
      <c r="H678" s="1427"/>
      <c r="N678" s="1727"/>
    </row>
    <row r="679" spans="1:14" x14ac:dyDescent="0.2">
      <c r="A679" s="1424"/>
      <c r="B679" s="1427"/>
      <c r="C679" s="1430"/>
      <c r="D679" s="1427"/>
      <c r="E679" s="1427"/>
      <c r="F679" s="1427"/>
      <c r="G679" s="1427"/>
      <c r="H679" s="1427"/>
      <c r="N679" s="1727"/>
    </row>
    <row r="680" spans="1:14" x14ac:dyDescent="0.2">
      <c r="A680" s="1424"/>
      <c r="B680" s="1427"/>
      <c r="C680" s="1430"/>
      <c r="D680" s="1427"/>
      <c r="E680" s="1427"/>
      <c r="F680" s="1427"/>
      <c r="G680" s="1427"/>
      <c r="H680" s="1427"/>
      <c r="N680" s="1727"/>
    </row>
    <row r="681" spans="1:14" x14ac:dyDescent="0.2">
      <c r="A681" s="1424"/>
      <c r="B681" s="1427"/>
      <c r="C681" s="1430"/>
      <c r="D681" s="1427"/>
      <c r="E681" s="1427"/>
      <c r="F681" s="1427"/>
      <c r="G681" s="1427"/>
      <c r="H681" s="1427"/>
      <c r="N681" s="1727"/>
    </row>
    <row r="682" spans="1:14" x14ac:dyDescent="0.2">
      <c r="A682" s="1424"/>
      <c r="B682" s="1427"/>
      <c r="C682" s="1430"/>
      <c r="D682" s="1427"/>
      <c r="E682" s="1427"/>
      <c r="F682" s="1427"/>
      <c r="G682" s="1427"/>
      <c r="H682" s="1427"/>
      <c r="N682" s="1727"/>
    </row>
    <row r="683" spans="1:14" x14ac:dyDescent="0.2">
      <c r="A683" s="1424"/>
      <c r="B683" s="1427"/>
      <c r="C683" s="1430"/>
      <c r="D683" s="1427"/>
      <c r="E683" s="1427"/>
      <c r="F683" s="1427"/>
      <c r="G683" s="1427"/>
      <c r="H683" s="1427"/>
      <c r="N683" s="1727"/>
    </row>
    <row r="684" spans="1:14" x14ac:dyDescent="0.2">
      <c r="A684" s="1424"/>
      <c r="B684" s="1427"/>
      <c r="C684" s="1430"/>
      <c r="D684" s="1427"/>
      <c r="E684" s="1427"/>
      <c r="F684" s="1427"/>
      <c r="G684" s="1427"/>
      <c r="H684" s="1427"/>
      <c r="N684" s="1727"/>
    </row>
    <row r="685" spans="1:14" x14ac:dyDescent="0.2">
      <c r="A685" s="1424"/>
      <c r="B685" s="1427"/>
      <c r="C685" s="1430"/>
      <c r="D685" s="1427"/>
      <c r="E685" s="1427"/>
      <c r="F685" s="1427"/>
      <c r="G685" s="1427"/>
      <c r="H685" s="1427"/>
      <c r="N685" s="1727"/>
    </row>
    <row r="686" spans="1:14" x14ac:dyDescent="0.2">
      <c r="A686" s="1424"/>
      <c r="B686" s="1427"/>
      <c r="C686" s="1430"/>
      <c r="D686" s="1427"/>
      <c r="E686" s="1427"/>
      <c r="F686" s="1427"/>
      <c r="G686" s="1427"/>
      <c r="H686" s="1427"/>
      <c r="N686" s="1727"/>
    </row>
    <row r="687" spans="1:14" x14ac:dyDescent="0.2">
      <c r="A687" s="1424"/>
      <c r="B687" s="1427"/>
      <c r="C687" s="1430"/>
      <c r="D687" s="1427"/>
      <c r="E687" s="1427"/>
      <c r="F687" s="1427"/>
      <c r="G687" s="1427"/>
      <c r="H687" s="1427"/>
      <c r="N687" s="1727"/>
    </row>
    <row r="688" spans="1:14" x14ac:dyDescent="0.2">
      <c r="A688" s="1424"/>
      <c r="B688" s="1427"/>
      <c r="C688" s="1430"/>
      <c r="D688" s="1427"/>
      <c r="E688" s="1427"/>
      <c r="F688" s="1427"/>
      <c r="G688" s="1427"/>
      <c r="H688" s="1427"/>
      <c r="N688" s="1727"/>
    </row>
    <row r="689" spans="1:14" x14ac:dyDescent="0.2">
      <c r="A689" s="1424"/>
      <c r="B689" s="1427"/>
      <c r="C689" s="1430"/>
      <c r="D689" s="1427"/>
      <c r="E689" s="1427"/>
      <c r="F689" s="1427"/>
      <c r="G689" s="1427"/>
      <c r="H689" s="1427"/>
      <c r="N689" s="1727"/>
    </row>
    <row r="690" spans="1:14" x14ac:dyDescent="0.2">
      <c r="A690" s="1424"/>
      <c r="B690" s="1427"/>
      <c r="C690" s="1430"/>
      <c r="D690" s="1427"/>
      <c r="E690" s="1427"/>
      <c r="F690" s="1427"/>
      <c r="G690" s="1427"/>
      <c r="H690" s="1427"/>
      <c r="N690" s="1727"/>
    </row>
    <row r="691" spans="1:14" x14ac:dyDescent="0.2">
      <c r="A691" s="1424"/>
      <c r="B691" s="1427"/>
      <c r="C691" s="1430"/>
      <c r="D691" s="1427"/>
      <c r="E691" s="1427"/>
      <c r="F691" s="1427"/>
      <c r="G691" s="1427"/>
      <c r="H691" s="1427"/>
      <c r="N691" s="1727"/>
    </row>
    <row r="692" spans="1:14" x14ac:dyDescent="0.2">
      <c r="A692" s="1424"/>
      <c r="B692" s="1427"/>
      <c r="C692" s="1430"/>
      <c r="D692" s="1427"/>
      <c r="E692" s="1427"/>
      <c r="F692" s="1427"/>
      <c r="G692" s="1427"/>
      <c r="H692" s="1427"/>
      <c r="N692" s="1727"/>
    </row>
    <row r="693" spans="1:14" x14ac:dyDescent="0.2">
      <c r="A693" s="1424"/>
      <c r="B693" s="1427"/>
      <c r="C693" s="1430"/>
      <c r="D693" s="1427"/>
      <c r="E693" s="1427"/>
      <c r="F693" s="1427"/>
      <c r="G693" s="1427"/>
      <c r="H693" s="1427"/>
      <c r="N693" s="1727"/>
    </row>
    <row r="694" spans="1:14" x14ac:dyDescent="0.2">
      <c r="A694" s="1424"/>
      <c r="B694" s="1427"/>
      <c r="C694" s="1430"/>
      <c r="D694" s="1427"/>
      <c r="E694" s="1427"/>
      <c r="F694" s="1427"/>
      <c r="G694" s="1427"/>
      <c r="H694" s="1427"/>
      <c r="N694" s="1727"/>
    </row>
    <row r="695" spans="1:14" x14ac:dyDescent="0.2">
      <c r="A695" s="1424"/>
      <c r="B695" s="1427"/>
      <c r="C695" s="1430"/>
      <c r="D695" s="1427"/>
      <c r="E695" s="1427"/>
      <c r="F695" s="1427"/>
      <c r="G695" s="1427"/>
      <c r="H695" s="1427"/>
      <c r="N695" s="1727"/>
    </row>
    <row r="696" spans="1:14" x14ac:dyDescent="0.2">
      <c r="A696" s="1424"/>
      <c r="B696" s="1427"/>
      <c r="C696" s="1430"/>
      <c r="D696" s="1427"/>
      <c r="E696" s="1427"/>
      <c r="F696" s="1427"/>
      <c r="G696" s="1427"/>
      <c r="H696" s="1427"/>
      <c r="N696" s="1727"/>
    </row>
    <row r="697" spans="1:14" x14ac:dyDescent="0.2">
      <c r="A697" s="1424"/>
      <c r="B697" s="1427"/>
      <c r="C697" s="1430"/>
      <c r="D697" s="1427"/>
      <c r="E697" s="1427"/>
      <c r="F697" s="1427"/>
      <c r="G697" s="1427"/>
      <c r="H697" s="1427"/>
      <c r="N697" s="1727"/>
    </row>
    <row r="698" spans="1:14" x14ac:dyDescent="0.2">
      <c r="A698" s="1424"/>
      <c r="B698" s="1427"/>
      <c r="C698" s="1430"/>
      <c r="D698" s="1427"/>
      <c r="E698" s="1427"/>
      <c r="F698" s="1427"/>
      <c r="G698" s="1427"/>
      <c r="H698" s="1427"/>
      <c r="N698" s="1727"/>
    </row>
    <row r="699" spans="1:14" x14ac:dyDescent="0.2">
      <c r="A699" s="1424"/>
      <c r="B699" s="1427"/>
      <c r="C699" s="1430"/>
      <c r="D699" s="1427"/>
      <c r="E699" s="1427"/>
      <c r="F699" s="1427"/>
      <c r="G699" s="1427"/>
      <c r="H699" s="1427"/>
      <c r="N699" s="1727"/>
    </row>
    <row r="700" spans="1:14" x14ac:dyDescent="0.2">
      <c r="A700" s="1424"/>
      <c r="B700" s="1427"/>
      <c r="C700" s="1430"/>
      <c r="D700" s="1427"/>
      <c r="E700" s="1427"/>
      <c r="F700" s="1427"/>
      <c r="G700" s="1427"/>
      <c r="H700" s="1427"/>
      <c r="N700" s="1727"/>
    </row>
    <row r="701" spans="1:14" x14ac:dyDescent="0.2">
      <c r="A701" s="1424"/>
      <c r="B701" s="1427"/>
      <c r="C701" s="1430"/>
      <c r="D701" s="1427"/>
      <c r="E701" s="1427"/>
      <c r="F701" s="1427"/>
      <c r="G701" s="1427"/>
      <c r="H701" s="1427"/>
      <c r="N701" s="1727"/>
    </row>
    <row r="702" spans="1:14" x14ac:dyDescent="0.2">
      <c r="A702" s="1424"/>
      <c r="B702" s="1427"/>
      <c r="C702" s="1430"/>
      <c r="D702" s="1427"/>
      <c r="E702" s="1427"/>
      <c r="F702" s="1427"/>
      <c r="G702" s="1427"/>
      <c r="H702" s="1427"/>
      <c r="N702" s="1727"/>
    </row>
    <row r="703" spans="1:14" x14ac:dyDescent="0.2">
      <c r="A703" s="1424"/>
      <c r="B703" s="1427"/>
      <c r="C703" s="1430"/>
      <c r="D703" s="1427"/>
      <c r="E703" s="1427"/>
      <c r="F703" s="1427"/>
      <c r="G703" s="1427"/>
      <c r="H703" s="1427"/>
      <c r="N703" s="1727"/>
    </row>
    <row r="704" spans="1:14" x14ac:dyDescent="0.2">
      <c r="A704" s="1424"/>
      <c r="B704" s="1427"/>
      <c r="C704" s="1430"/>
      <c r="D704" s="1427"/>
      <c r="E704" s="1427"/>
      <c r="F704" s="1427"/>
      <c r="G704" s="1427"/>
      <c r="H704" s="1427"/>
      <c r="N704" s="1727"/>
    </row>
    <row r="705" spans="1:14" x14ac:dyDescent="0.2">
      <c r="A705" s="1424"/>
      <c r="B705" s="1427"/>
      <c r="C705" s="1430"/>
      <c r="D705" s="1427"/>
      <c r="E705" s="1427"/>
      <c r="F705" s="1427"/>
      <c r="G705" s="1427"/>
      <c r="H705" s="1427"/>
      <c r="N705" s="1727"/>
    </row>
    <row r="706" spans="1:14" x14ac:dyDescent="0.2">
      <c r="A706" s="1424"/>
      <c r="B706" s="1427"/>
      <c r="C706" s="1430"/>
      <c r="D706" s="1427"/>
      <c r="E706" s="1427"/>
      <c r="F706" s="1427"/>
      <c r="G706" s="1427"/>
      <c r="H706" s="1427"/>
      <c r="N706" s="1727"/>
    </row>
    <row r="707" spans="1:14" x14ac:dyDescent="0.2">
      <c r="A707" s="1424"/>
      <c r="B707" s="1427"/>
      <c r="C707" s="1430"/>
      <c r="D707" s="1427"/>
      <c r="E707" s="1427"/>
      <c r="F707" s="1427"/>
      <c r="G707" s="1427"/>
      <c r="H707" s="1427"/>
      <c r="N707" s="1727"/>
    </row>
    <row r="708" spans="1:14" x14ac:dyDescent="0.2">
      <c r="A708" s="1424"/>
      <c r="B708" s="1427"/>
      <c r="C708" s="1430"/>
      <c r="D708" s="1427"/>
      <c r="E708" s="1427"/>
      <c r="F708" s="1427"/>
      <c r="G708" s="1427"/>
      <c r="H708" s="1427"/>
      <c r="N708" s="1727"/>
    </row>
    <row r="709" spans="1:14" x14ac:dyDescent="0.2">
      <c r="A709" s="1424"/>
      <c r="B709" s="1427"/>
      <c r="C709" s="1430"/>
      <c r="D709" s="1427"/>
      <c r="E709" s="1427"/>
      <c r="F709" s="1427"/>
      <c r="G709" s="1427"/>
      <c r="H709" s="1427"/>
      <c r="N709" s="1727"/>
    </row>
    <row r="710" spans="1:14" x14ac:dyDescent="0.2">
      <c r="A710" s="1424"/>
      <c r="B710" s="1427"/>
      <c r="C710" s="1430"/>
      <c r="D710" s="1427"/>
      <c r="E710" s="1427"/>
      <c r="F710" s="1427"/>
      <c r="G710" s="1427"/>
      <c r="H710" s="1427"/>
      <c r="N710" s="1727"/>
    </row>
    <row r="711" spans="1:14" x14ac:dyDescent="0.2">
      <c r="A711" s="1424"/>
      <c r="B711" s="1427"/>
      <c r="C711" s="1430"/>
      <c r="D711" s="1427"/>
      <c r="E711" s="1427"/>
      <c r="F711" s="1427"/>
      <c r="G711" s="1427"/>
      <c r="H711" s="1427"/>
      <c r="N711" s="1727"/>
    </row>
    <row r="712" spans="1:14" x14ac:dyDescent="0.2">
      <c r="A712" s="1424"/>
      <c r="B712" s="1427"/>
      <c r="C712" s="1430"/>
      <c r="D712" s="1427"/>
      <c r="E712" s="1427"/>
      <c r="F712" s="1427"/>
      <c r="G712" s="1427"/>
      <c r="H712" s="1427"/>
      <c r="N712" s="1727"/>
    </row>
    <row r="713" spans="1:14" x14ac:dyDescent="0.2">
      <c r="A713" s="1424"/>
      <c r="B713" s="1427"/>
      <c r="C713" s="1430"/>
      <c r="D713" s="1427"/>
      <c r="E713" s="1427"/>
      <c r="F713" s="1427"/>
      <c r="G713" s="1427"/>
      <c r="H713" s="1427"/>
      <c r="N713" s="1727"/>
    </row>
    <row r="714" spans="1:14" x14ac:dyDescent="0.2">
      <c r="A714" s="1424"/>
      <c r="B714" s="1427"/>
      <c r="C714" s="1430"/>
      <c r="D714" s="1427"/>
      <c r="E714" s="1427"/>
      <c r="F714" s="1427"/>
      <c r="G714" s="1427"/>
      <c r="H714" s="1427"/>
      <c r="N714" s="1727"/>
    </row>
    <row r="715" spans="1:14" x14ac:dyDescent="0.2">
      <c r="A715" s="1424"/>
      <c r="B715" s="1427"/>
      <c r="C715" s="1430"/>
      <c r="D715" s="1427"/>
      <c r="E715" s="1427"/>
      <c r="F715" s="1427"/>
      <c r="G715" s="1427"/>
      <c r="H715" s="1427"/>
      <c r="N715" s="1727"/>
    </row>
    <row r="716" spans="1:14" x14ac:dyDescent="0.2">
      <c r="A716" s="1424"/>
      <c r="B716" s="1427"/>
      <c r="C716" s="1430"/>
      <c r="D716" s="1427"/>
      <c r="E716" s="1427"/>
      <c r="F716" s="1427"/>
      <c r="G716" s="1427"/>
      <c r="H716" s="1427"/>
      <c r="N716" s="1727"/>
    </row>
    <row r="717" spans="1:14" x14ac:dyDescent="0.2">
      <c r="A717" s="1424"/>
      <c r="B717" s="1427"/>
      <c r="C717" s="1430"/>
      <c r="D717" s="1427"/>
      <c r="E717" s="1427"/>
      <c r="F717" s="1427"/>
      <c r="G717" s="1427"/>
      <c r="H717" s="1427"/>
      <c r="N717" s="1727"/>
    </row>
    <row r="718" spans="1:14" x14ac:dyDescent="0.2">
      <c r="A718" s="1424"/>
      <c r="B718" s="1427"/>
      <c r="C718" s="1430"/>
      <c r="D718" s="1427"/>
      <c r="E718" s="1427"/>
      <c r="F718" s="1427"/>
      <c r="G718" s="1427"/>
      <c r="H718" s="1427"/>
      <c r="N718" s="1727"/>
    </row>
    <row r="719" spans="1:14" x14ac:dyDescent="0.2">
      <c r="A719" s="1424"/>
      <c r="B719" s="1427"/>
      <c r="C719" s="1430"/>
      <c r="D719" s="1427"/>
      <c r="E719" s="1427"/>
      <c r="F719" s="1427"/>
      <c r="G719" s="1427"/>
      <c r="H719" s="1427"/>
      <c r="N719" s="1727"/>
    </row>
    <row r="720" spans="1:14" x14ac:dyDescent="0.2">
      <c r="A720" s="1424"/>
      <c r="B720" s="1427"/>
      <c r="C720" s="1430"/>
      <c r="D720" s="1427"/>
      <c r="E720" s="1427"/>
      <c r="F720" s="1427"/>
      <c r="G720" s="1427"/>
      <c r="H720" s="1427"/>
      <c r="N720" s="1727"/>
    </row>
    <row r="721" spans="1:14" x14ac:dyDescent="0.2">
      <c r="A721" s="1424"/>
      <c r="B721" s="1427"/>
      <c r="C721" s="1430"/>
      <c r="D721" s="1427"/>
      <c r="E721" s="1427"/>
      <c r="F721" s="1427"/>
      <c r="G721" s="1427"/>
      <c r="H721" s="1427"/>
      <c r="N721" s="1727"/>
    </row>
    <row r="722" spans="1:14" x14ac:dyDescent="0.2">
      <c r="A722" s="1424"/>
      <c r="B722" s="1427"/>
      <c r="C722" s="1430"/>
      <c r="D722" s="1427"/>
      <c r="E722" s="1427"/>
      <c r="F722" s="1427"/>
      <c r="G722" s="1427"/>
      <c r="H722" s="1427"/>
      <c r="N722" s="1727"/>
    </row>
    <row r="723" spans="1:14" x14ac:dyDescent="0.2">
      <c r="A723" s="1424"/>
      <c r="B723" s="1427"/>
      <c r="C723" s="1430"/>
      <c r="D723" s="1427"/>
      <c r="E723" s="1427"/>
      <c r="F723" s="1427"/>
      <c r="G723" s="1427"/>
      <c r="H723" s="1427"/>
      <c r="N723" s="1727"/>
    </row>
    <row r="724" spans="1:14" x14ac:dyDescent="0.2">
      <c r="A724" s="1424"/>
      <c r="B724" s="1427"/>
      <c r="C724" s="1430"/>
      <c r="D724" s="1427"/>
      <c r="E724" s="1427"/>
      <c r="F724" s="1427"/>
      <c r="G724" s="1427"/>
      <c r="H724" s="1427"/>
      <c r="N724" s="1727"/>
    </row>
    <row r="725" spans="1:14" x14ac:dyDescent="0.2">
      <c r="A725" s="1424"/>
      <c r="B725" s="1427"/>
      <c r="C725" s="1430"/>
      <c r="D725" s="1427"/>
      <c r="E725" s="1427"/>
      <c r="F725" s="1427"/>
      <c r="G725" s="1427"/>
      <c r="H725" s="1427"/>
      <c r="N725" s="1727"/>
    </row>
    <row r="726" spans="1:14" x14ac:dyDescent="0.2">
      <c r="A726" s="1424"/>
      <c r="B726" s="1427"/>
      <c r="C726" s="1430"/>
      <c r="D726" s="1427"/>
      <c r="E726" s="1427"/>
      <c r="F726" s="1427"/>
      <c r="G726" s="1427"/>
      <c r="H726" s="1427"/>
      <c r="N726" s="1727"/>
    </row>
    <row r="727" spans="1:14" x14ac:dyDescent="0.2">
      <c r="A727" s="1424"/>
      <c r="B727" s="1427"/>
      <c r="C727" s="1430"/>
      <c r="D727" s="1427"/>
      <c r="E727" s="1427"/>
      <c r="F727" s="1427"/>
      <c r="G727" s="1427"/>
      <c r="H727" s="1427"/>
      <c r="N727" s="1727"/>
    </row>
    <row r="728" spans="1:14" x14ac:dyDescent="0.2">
      <c r="A728" s="1424"/>
      <c r="B728" s="1427"/>
      <c r="C728" s="1430"/>
      <c r="D728" s="1427"/>
      <c r="E728" s="1427"/>
      <c r="F728" s="1427"/>
      <c r="G728" s="1427"/>
      <c r="H728" s="1427"/>
      <c r="N728" s="1727"/>
    </row>
    <row r="729" spans="1:14" x14ac:dyDescent="0.2">
      <c r="A729" s="1424"/>
      <c r="B729" s="1427"/>
      <c r="C729" s="1430"/>
      <c r="D729" s="1427"/>
      <c r="E729" s="1427"/>
      <c r="F729" s="1427"/>
      <c r="G729" s="1427"/>
      <c r="H729" s="1427"/>
      <c r="N729" s="1727"/>
    </row>
    <row r="730" spans="1:14" x14ac:dyDescent="0.2">
      <c r="A730" s="1424"/>
      <c r="B730" s="1427"/>
      <c r="C730" s="1430"/>
      <c r="D730" s="1427"/>
      <c r="E730" s="1427"/>
      <c r="F730" s="1427"/>
      <c r="G730" s="1427"/>
      <c r="H730" s="1427"/>
      <c r="N730" s="1727"/>
    </row>
    <row r="731" spans="1:14" x14ac:dyDescent="0.2">
      <c r="A731" s="1424"/>
      <c r="B731" s="1427"/>
      <c r="C731" s="1430"/>
      <c r="D731" s="1427"/>
      <c r="E731" s="1427"/>
      <c r="F731" s="1427"/>
      <c r="G731" s="1427"/>
      <c r="H731" s="1427"/>
      <c r="N731" s="1727"/>
    </row>
    <row r="732" spans="1:14" x14ac:dyDescent="0.2">
      <c r="A732" s="1424"/>
      <c r="B732" s="1427"/>
      <c r="C732" s="1430"/>
      <c r="D732" s="1427"/>
      <c r="E732" s="1427"/>
      <c r="F732" s="1427"/>
      <c r="G732" s="1427"/>
      <c r="H732" s="1427"/>
      <c r="N732" s="1727"/>
    </row>
    <row r="733" spans="1:14" x14ac:dyDescent="0.2">
      <c r="A733" s="1424"/>
      <c r="B733" s="1427"/>
      <c r="C733" s="1430"/>
      <c r="D733" s="1427"/>
      <c r="E733" s="1427"/>
      <c r="F733" s="1427"/>
      <c r="G733" s="1427"/>
      <c r="H733" s="1427"/>
      <c r="N733" s="1727"/>
    </row>
    <row r="734" spans="1:14" x14ac:dyDescent="0.2">
      <c r="A734" s="1424"/>
      <c r="B734" s="1427"/>
      <c r="C734" s="1430"/>
      <c r="D734" s="1427"/>
      <c r="E734" s="1427"/>
      <c r="F734" s="1427"/>
      <c r="G734" s="1427"/>
      <c r="H734" s="1427"/>
      <c r="N734" s="1727"/>
    </row>
    <row r="735" spans="1:14" x14ac:dyDescent="0.2">
      <c r="A735" s="1424"/>
      <c r="B735" s="1427"/>
      <c r="C735" s="1430"/>
      <c r="D735" s="1427"/>
      <c r="E735" s="1427"/>
      <c r="F735" s="1427"/>
      <c r="G735" s="1427"/>
      <c r="H735" s="1427"/>
      <c r="N735" s="1727"/>
    </row>
    <row r="736" spans="1:14" x14ac:dyDescent="0.2">
      <c r="A736" s="1424"/>
      <c r="B736" s="1427"/>
      <c r="C736" s="1430"/>
      <c r="D736" s="1427"/>
      <c r="E736" s="1427"/>
      <c r="F736" s="1427"/>
      <c r="G736" s="1427"/>
      <c r="H736" s="1427"/>
      <c r="N736" s="1727"/>
    </row>
    <row r="737" spans="1:14" x14ac:dyDescent="0.2">
      <c r="A737" s="1424"/>
      <c r="B737" s="1427"/>
      <c r="C737" s="1430"/>
      <c r="D737" s="1427"/>
      <c r="E737" s="1427"/>
      <c r="F737" s="1427"/>
      <c r="G737" s="1427"/>
      <c r="H737" s="1427"/>
      <c r="N737" s="1727"/>
    </row>
    <row r="738" spans="1:14" x14ac:dyDescent="0.2">
      <c r="A738" s="1424"/>
      <c r="B738" s="1427"/>
      <c r="C738" s="1430"/>
      <c r="D738" s="1427"/>
      <c r="E738" s="1427"/>
      <c r="F738" s="1427"/>
      <c r="G738" s="1427"/>
      <c r="H738" s="1427"/>
      <c r="N738" s="1727"/>
    </row>
    <row r="739" spans="1:14" x14ac:dyDescent="0.2">
      <c r="A739" s="1424"/>
      <c r="B739" s="1427"/>
      <c r="C739" s="1430"/>
      <c r="D739" s="1427"/>
      <c r="E739" s="1427"/>
      <c r="F739" s="1427"/>
      <c r="G739" s="1427"/>
      <c r="H739" s="1427"/>
      <c r="N739" s="1727"/>
    </row>
    <row r="740" spans="1:14" x14ac:dyDescent="0.2">
      <c r="A740" s="1424"/>
      <c r="B740" s="1427"/>
      <c r="C740" s="1430"/>
      <c r="D740" s="1427"/>
      <c r="E740" s="1427"/>
      <c r="F740" s="1427"/>
      <c r="G740" s="1427"/>
      <c r="H740" s="1427"/>
      <c r="N740" s="1727"/>
    </row>
    <row r="741" spans="1:14" x14ac:dyDescent="0.2">
      <c r="A741" s="1424"/>
      <c r="B741" s="1427"/>
      <c r="C741" s="1430"/>
      <c r="D741" s="1427"/>
      <c r="E741" s="1427"/>
      <c r="F741" s="1427"/>
      <c r="G741" s="1427"/>
      <c r="H741" s="1427"/>
      <c r="N741" s="1727"/>
    </row>
    <row r="742" spans="1:14" x14ac:dyDescent="0.2">
      <c r="A742" s="1424"/>
      <c r="B742" s="1427"/>
      <c r="C742" s="1430"/>
      <c r="D742" s="1427"/>
      <c r="E742" s="1427"/>
      <c r="F742" s="1427"/>
      <c r="G742" s="1427"/>
      <c r="H742" s="1427"/>
      <c r="N742" s="1727"/>
    </row>
    <row r="743" spans="1:14" x14ac:dyDescent="0.2">
      <c r="A743" s="1424"/>
      <c r="B743" s="1427"/>
      <c r="C743" s="1430"/>
      <c r="D743" s="1427"/>
      <c r="E743" s="1427"/>
      <c r="F743" s="1427"/>
      <c r="G743" s="1427"/>
      <c r="H743" s="1427"/>
      <c r="N743" s="1727"/>
    </row>
    <row r="744" spans="1:14" x14ac:dyDescent="0.2">
      <c r="A744" s="1424"/>
      <c r="B744" s="1427"/>
      <c r="C744" s="1430"/>
      <c r="D744" s="1427"/>
      <c r="E744" s="1427"/>
      <c r="F744" s="1427"/>
      <c r="G744" s="1427"/>
      <c r="H744" s="1427"/>
      <c r="N744" s="1727"/>
    </row>
    <row r="745" spans="1:14" x14ac:dyDescent="0.2">
      <c r="A745" s="1424"/>
      <c r="B745" s="1427"/>
      <c r="C745" s="1430"/>
      <c r="D745" s="1427"/>
      <c r="E745" s="1427"/>
      <c r="F745" s="1427"/>
      <c r="G745" s="1427"/>
      <c r="H745" s="1427"/>
      <c r="N745" s="1727"/>
    </row>
    <row r="746" spans="1:14" x14ac:dyDescent="0.2">
      <c r="A746" s="1424"/>
      <c r="B746" s="1427"/>
      <c r="C746" s="1430"/>
      <c r="D746" s="1427"/>
      <c r="E746" s="1427"/>
      <c r="F746" s="1427"/>
      <c r="G746" s="1427"/>
      <c r="H746" s="1427"/>
      <c r="N746" s="1727"/>
    </row>
    <row r="747" spans="1:14" x14ac:dyDescent="0.2">
      <c r="A747" s="1424"/>
      <c r="B747" s="1427"/>
      <c r="C747" s="1430"/>
      <c r="D747" s="1427"/>
      <c r="E747" s="1427"/>
      <c r="F747" s="1427"/>
      <c r="G747" s="1427"/>
      <c r="H747" s="1427"/>
      <c r="N747" s="1727"/>
    </row>
    <row r="748" spans="1:14" x14ac:dyDescent="0.2">
      <c r="A748" s="1424"/>
      <c r="B748" s="1427"/>
      <c r="C748" s="1430"/>
      <c r="D748" s="1427"/>
      <c r="E748" s="1427"/>
      <c r="F748" s="1427"/>
      <c r="G748" s="1427"/>
      <c r="H748" s="1427"/>
      <c r="N748" s="1727"/>
    </row>
    <row r="749" spans="1:14" x14ac:dyDescent="0.2">
      <c r="A749" s="1424"/>
      <c r="B749" s="1427"/>
      <c r="C749" s="1430"/>
      <c r="D749" s="1427"/>
      <c r="E749" s="1427"/>
      <c r="F749" s="1427"/>
      <c r="G749" s="1427"/>
      <c r="H749" s="1427"/>
      <c r="N749" s="1727"/>
    </row>
    <row r="750" spans="1:14" x14ac:dyDescent="0.2">
      <c r="A750" s="1424"/>
      <c r="B750" s="1427"/>
      <c r="C750" s="1430"/>
      <c r="D750" s="1427"/>
      <c r="E750" s="1427"/>
      <c r="F750" s="1427"/>
      <c r="G750" s="1427"/>
      <c r="H750" s="1427"/>
      <c r="N750" s="1727"/>
    </row>
    <row r="751" spans="1:14" x14ac:dyDescent="0.2">
      <c r="A751" s="1424"/>
      <c r="B751" s="1427"/>
      <c r="C751" s="1430"/>
      <c r="D751" s="1427"/>
      <c r="E751" s="1427"/>
      <c r="F751" s="1427"/>
      <c r="G751" s="1427"/>
      <c r="H751" s="1427"/>
      <c r="N751" s="1727"/>
    </row>
    <row r="752" spans="1:14" x14ac:dyDescent="0.2">
      <c r="A752" s="1424"/>
      <c r="B752" s="1427"/>
      <c r="C752" s="1430"/>
      <c r="D752" s="1427"/>
      <c r="E752" s="1427"/>
      <c r="F752" s="1427"/>
      <c r="G752" s="1427"/>
      <c r="H752" s="1427"/>
      <c r="N752" s="1727"/>
    </row>
    <row r="753" spans="1:14" x14ac:dyDescent="0.2">
      <c r="A753" s="1424"/>
      <c r="B753" s="1427"/>
      <c r="C753" s="1430"/>
      <c r="D753" s="1427"/>
      <c r="E753" s="1427"/>
      <c r="F753" s="1427"/>
      <c r="G753" s="1427"/>
      <c r="H753" s="1427"/>
      <c r="N753" s="1727"/>
    </row>
    <row r="754" spans="1:14" x14ac:dyDescent="0.2">
      <c r="A754" s="1424"/>
      <c r="B754" s="1427"/>
      <c r="C754" s="1430"/>
      <c r="D754" s="1427"/>
      <c r="E754" s="1427"/>
      <c r="F754" s="1427"/>
      <c r="G754" s="1427"/>
      <c r="H754" s="1427"/>
      <c r="N754" s="1727"/>
    </row>
    <row r="755" spans="1:14" x14ac:dyDescent="0.2">
      <c r="A755" s="1424"/>
      <c r="B755" s="1427"/>
      <c r="C755" s="1430"/>
      <c r="D755" s="1427"/>
      <c r="E755" s="1427"/>
      <c r="F755" s="1427"/>
      <c r="G755" s="1427"/>
      <c r="H755" s="1427"/>
      <c r="N755" s="1727"/>
    </row>
    <row r="756" spans="1:14" x14ac:dyDescent="0.2">
      <c r="A756" s="1424"/>
      <c r="B756" s="1427"/>
      <c r="C756" s="1430"/>
      <c r="D756" s="1427"/>
      <c r="E756" s="1427"/>
      <c r="F756" s="1427"/>
      <c r="G756" s="1427"/>
      <c r="H756" s="1427"/>
      <c r="N756" s="1727"/>
    </row>
    <row r="757" spans="1:14" x14ac:dyDescent="0.2">
      <c r="A757" s="1424"/>
      <c r="B757" s="1427"/>
      <c r="C757" s="1430"/>
      <c r="D757" s="1427"/>
      <c r="E757" s="1427"/>
      <c r="F757" s="1427"/>
      <c r="G757" s="1427"/>
      <c r="H757" s="1427"/>
      <c r="N757" s="1727"/>
    </row>
    <row r="758" spans="1:14" x14ac:dyDescent="0.2">
      <c r="A758" s="1424"/>
      <c r="B758" s="1427"/>
      <c r="C758" s="1430"/>
      <c r="D758" s="1427"/>
      <c r="E758" s="1427"/>
      <c r="F758" s="1427"/>
      <c r="G758" s="1427"/>
      <c r="H758" s="1427"/>
      <c r="N758" s="1727"/>
    </row>
    <row r="759" spans="1:14" x14ac:dyDescent="0.2">
      <c r="A759" s="1424"/>
      <c r="B759" s="1427"/>
      <c r="C759" s="1430"/>
      <c r="D759" s="1427"/>
      <c r="E759" s="1427"/>
      <c r="F759" s="1427"/>
      <c r="G759" s="1427"/>
      <c r="H759" s="1427"/>
      <c r="N759" s="1727"/>
    </row>
    <row r="760" spans="1:14" x14ac:dyDescent="0.2">
      <c r="A760" s="1424"/>
      <c r="B760" s="1427"/>
      <c r="C760" s="1430"/>
      <c r="D760" s="1427"/>
      <c r="E760" s="1427"/>
      <c r="F760" s="1427"/>
      <c r="G760" s="1427"/>
      <c r="H760" s="1427"/>
      <c r="N760" s="1727"/>
    </row>
    <row r="761" spans="1:14" x14ac:dyDescent="0.2">
      <c r="A761" s="1424"/>
      <c r="B761" s="1427"/>
      <c r="C761" s="1430"/>
      <c r="D761" s="1427"/>
      <c r="E761" s="1427"/>
      <c r="F761" s="1427"/>
      <c r="G761" s="1427"/>
      <c r="H761" s="1427"/>
      <c r="N761" s="1727"/>
    </row>
    <row r="762" spans="1:14" x14ac:dyDescent="0.2">
      <c r="A762" s="1424"/>
      <c r="B762" s="1427"/>
      <c r="C762" s="1430"/>
      <c r="D762" s="1427"/>
      <c r="E762" s="1427"/>
      <c r="F762" s="1427"/>
      <c r="G762" s="1427"/>
      <c r="H762" s="1427"/>
      <c r="N762" s="1727"/>
    </row>
    <row r="763" spans="1:14" x14ac:dyDescent="0.2">
      <c r="A763" s="1424"/>
      <c r="B763" s="1427"/>
      <c r="C763" s="1430"/>
      <c r="D763" s="1427"/>
      <c r="E763" s="1427"/>
      <c r="F763" s="1427"/>
      <c r="G763" s="1427"/>
      <c r="H763" s="1427"/>
      <c r="N763" s="1727"/>
    </row>
    <row r="764" spans="1:14" x14ac:dyDescent="0.2">
      <c r="A764" s="1424"/>
      <c r="B764" s="1427"/>
      <c r="C764" s="1430"/>
      <c r="D764" s="1427"/>
      <c r="E764" s="1427"/>
      <c r="F764" s="1427"/>
      <c r="G764" s="1427"/>
      <c r="H764" s="1427"/>
      <c r="N764" s="1727"/>
    </row>
    <row r="765" spans="1:14" x14ac:dyDescent="0.2">
      <c r="A765" s="1424"/>
      <c r="B765" s="1427"/>
      <c r="C765" s="1430"/>
      <c r="D765" s="1427"/>
      <c r="E765" s="1427"/>
      <c r="F765" s="1427"/>
      <c r="G765" s="1427"/>
      <c r="H765" s="1427"/>
      <c r="N765" s="1727"/>
    </row>
    <row r="766" spans="1:14" x14ac:dyDescent="0.2">
      <c r="A766" s="1424"/>
      <c r="B766" s="1427"/>
      <c r="C766" s="1430"/>
      <c r="D766" s="1427"/>
      <c r="E766" s="1427"/>
      <c r="F766" s="1427"/>
      <c r="G766" s="1427"/>
      <c r="H766" s="1427"/>
      <c r="N766" s="1727"/>
    </row>
    <row r="767" spans="1:14" x14ac:dyDescent="0.2">
      <c r="A767" s="1424"/>
      <c r="B767" s="1427"/>
      <c r="C767" s="1430"/>
      <c r="D767" s="1427"/>
      <c r="E767" s="1427"/>
      <c r="F767" s="1427"/>
      <c r="G767" s="1427"/>
      <c r="H767" s="1427"/>
      <c r="N767" s="1727"/>
    </row>
    <row r="768" spans="1:14" x14ac:dyDescent="0.2">
      <c r="A768" s="1424"/>
      <c r="B768" s="1427"/>
      <c r="C768" s="1430"/>
      <c r="D768" s="1427"/>
      <c r="E768" s="1427"/>
      <c r="F768" s="1427"/>
      <c r="G768" s="1427"/>
      <c r="H768" s="1427"/>
      <c r="N768" s="1727"/>
    </row>
    <row r="769" spans="1:14" x14ac:dyDescent="0.2">
      <c r="A769" s="1424"/>
      <c r="B769" s="1427"/>
      <c r="C769" s="1430"/>
      <c r="D769" s="1427"/>
      <c r="E769" s="1427"/>
      <c r="F769" s="1427"/>
      <c r="G769" s="1427"/>
      <c r="H769" s="1427"/>
      <c r="N769" s="1727"/>
    </row>
    <row r="770" spans="1:14" x14ac:dyDescent="0.2">
      <c r="A770" s="1424"/>
      <c r="B770" s="1427"/>
      <c r="C770" s="1430"/>
      <c r="D770" s="1427"/>
      <c r="E770" s="1427"/>
      <c r="F770" s="1427"/>
      <c r="G770" s="1427"/>
      <c r="H770" s="1427"/>
      <c r="N770" s="1727"/>
    </row>
    <row r="771" spans="1:14" x14ac:dyDescent="0.2">
      <c r="A771" s="1424"/>
      <c r="B771" s="1427"/>
      <c r="C771" s="1430"/>
      <c r="D771" s="1427"/>
      <c r="E771" s="1427"/>
      <c r="F771" s="1427"/>
      <c r="G771" s="1427"/>
      <c r="H771" s="1427"/>
      <c r="N771" s="1727"/>
    </row>
    <row r="772" spans="1:14" x14ac:dyDescent="0.2">
      <c r="A772" s="1424"/>
      <c r="B772" s="1427"/>
      <c r="C772" s="1430"/>
      <c r="D772" s="1427"/>
      <c r="E772" s="1427"/>
      <c r="F772" s="1427"/>
      <c r="G772" s="1427"/>
      <c r="H772" s="1427"/>
      <c r="N772" s="1727"/>
    </row>
    <row r="773" spans="1:14" x14ac:dyDescent="0.2">
      <c r="A773" s="1424"/>
      <c r="B773" s="1427"/>
      <c r="C773" s="1430"/>
      <c r="D773" s="1427"/>
      <c r="E773" s="1427"/>
      <c r="F773" s="1427"/>
      <c r="G773" s="1427"/>
      <c r="H773" s="1427"/>
      <c r="N773" s="1727"/>
    </row>
    <row r="774" spans="1:14" x14ac:dyDescent="0.2">
      <c r="A774" s="1424"/>
      <c r="B774" s="1427"/>
      <c r="C774" s="1430"/>
      <c r="D774" s="1427"/>
      <c r="E774" s="1427"/>
      <c r="F774" s="1427"/>
      <c r="G774" s="1427"/>
      <c r="H774" s="1427"/>
      <c r="N774" s="1727"/>
    </row>
    <row r="775" spans="1:14" x14ac:dyDescent="0.2">
      <c r="A775" s="1424"/>
      <c r="B775" s="1427"/>
      <c r="C775" s="1430"/>
      <c r="D775" s="1427"/>
      <c r="E775" s="1427"/>
      <c r="F775" s="1427"/>
      <c r="G775" s="1427"/>
      <c r="H775" s="1427"/>
      <c r="N775" s="1727"/>
    </row>
    <row r="776" spans="1:14" x14ac:dyDescent="0.2">
      <c r="A776" s="1424"/>
      <c r="B776" s="1427"/>
      <c r="C776" s="1430"/>
      <c r="D776" s="1427"/>
      <c r="E776" s="1427"/>
      <c r="F776" s="1427"/>
      <c r="G776" s="1427"/>
      <c r="H776" s="1427"/>
      <c r="N776" s="1727"/>
    </row>
    <row r="777" spans="1:14" x14ac:dyDescent="0.2">
      <c r="A777" s="1424"/>
      <c r="B777" s="1427"/>
      <c r="C777" s="1430"/>
      <c r="D777" s="1427"/>
      <c r="E777" s="1427"/>
      <c r="F777" s="1427"/>
      <c r="G777" s="1427"/>
      <c r="H777" s="1427"/>
      <c r="N777" s="1727"/>
    </row>
    <row r="778" spans="1:14" x14ac:dyDescent="0.2">
      <c r="A778" s="1424"/>
      <c r="B778" s="1427"/>
      <c r="C778" s="1430"/>
      <c r="D778" s="1427"/>
      <c r="E778" s="1427"/>
      <c r="F778" s="1427"/>
      <c r="G778" s="1427"/>
      <c r="H778" s="1427"/>
      <c r="N778" s="1727"/>
    </row>
    <row r="779" spans="1:14" x14ac:dyDescent="0.2">
      <c r="A779" s="1424"/>
      <c r="B779" s="1427"/>
      <c r="C779" s="1430"/>
      <c r="D779" s="1427"/>
      <c r="E779" s="1427"/>
      <c r="F779" s="1427"/>
      <c r="G779" s="1427"/>
      <c r="H779" s="1427"/>
      <c r="N779" s="1727"/>
    </row>
    <row r="780" spans="1:14" x14ac:dyDescent="0.2">
      <c r="A780" s="1424"/>
      <c r="B780" s="1427"/>
      <c r="C780" s="1430"/>
      <c r="D780" s="1427"/>
      <c r="E780" s="1427"/>
      <c r="F780" s="1427"/>
      <c r="G780" s="1427"/>
      <c r="H780" s="1427"/>
      <c r="N780" s="1727"/>
    </row>
    <row r="781" spans="1:14" x14ac:dyDescent="0.2">
      <c r="A781" s="1424"/>
      <c r="B781" s="1427"/>
      <c r="C781" s="1430"/>
      <c r="D781" s="1427"/>
      <c r="E781" s="1427"/>
      <c r="F781" s="1427"/>
      <c r="G781" s="1427"/>
      <c r="H781" s="1427"/>
      <c r="N781" s="1727"/>
    </row>
    <row r="782" spans="1:14" x14ac:dyDescent="0.2">
      <c r="A782" s="1424"/>
      <c r="B782" s="1427"/>
      <c r="C782" s="1430"/>
      <c r="D782" s="1427"/>
      <c r="E782" s="1427"/>
      <c r="F782" s="1427"/>
      <c r="G782" s="1427"/>
      <c r="H782" s="1427"/>
      <c r="N782" s="1727"/>
    </row>
    <row r="783" spans="1:14" x14ac:dyDescent="0.2">
      <c r="A783" s="1424"/>
      <c r="B783" s="1427"/>
      <c r="C783" s="1430"/>
      <c r="D783" s="1427"/>
      <c r="E783" s="1427"/>
      <c r="F783" s="1427"/>
      <c r="G783" s="1427"/>
      <c r="H783" s="1427"/>
      <c r="N783" s="1727"/>
    </row>
    <row r="784" spans="1:14" x14ac:dyDescent="0.2">
      <c r="A784" s="1424"/>
      <c r="B784" s="1427"/>
      <c r="C784" s="1430"/>
      <c r="D784" s="1427"/>
      <c r="E784" s="1427"/>
      <c r="F784" s="1427"/>
      <c r="G784" s="1427"/>
      <c r="H784" s="1427"/>
      <c r="N784" s="1727"/>
    </row>
    <row r="785" spans="1:14" x14ac:dyDescent="0.2">
      <c r="A785" s="1424"/>
      <c r="B785" s="1427"/>
      <c r="C785" s="1430"/>
      <c r="D785" s="1427"/>
      <c r="E785" s="1427"/>
      <c r="F785" s="1427"/>
      <c r="G785" s="1427"/>
      <c r="H785" s="1427"/>
      <c r="N785" s="1727"/>
    </row>
    <row r="786" spans="1:14" x14ac:dyDescent="0.2">
      <c r="A786" s="1424"/>
      <c r="B786" s="1427"/>
      <c r="C786" s="1430"/>
      <c r="D786" s="1427"/>
      <c r="E786" s="1427"/>
      <c r="F786" s="1427"/>
      <c r="G786" s="1427"/>
      <c r="H786" s="1427"/>
      <c r="N786" s="1727"/>
    </row>
    <row r="787" spans="1:14" x14ac:dyDescent="0.2">
      <c r="A787" s="1424"/>
      <c r="B787" s="1427"/>
      <c r="C787" s="1430"/>
      <c r="D787" s="1427"/>
      <c r="E787" s="1427"/>
      <c r="F787" s="1427"/>
      <c r="G787" s="1427"/>
      <c r="H787" s="1427"/>
      <c r="N787" s="1727"/>
    </row>
    <row r="788" spans="1:14" x14ac:dyDescent="0.2">
      <c r="A788" s="1424"/>
      <c r="B788" s="1427"/>
      <c r="C788" s="1430"/>
      <c r="D788" s="1427"/>
      <c r="E788" s="1427"/>
      <c r="F788" s="1427"/>
      <c r="G788" s="1427"/>
      <c r="H788" s="1427"/>
      <c r="N788" s="1727"/>
    </row>
    <row r="789" spans="1:14" x14ac:dyDescent="0.2">
      <c r="A789" s="1424"/>
      <c r="B789" s="1427"/>
      <c r="C789" s="1430"/>
      <c r="D789" s="1427"/>
      <c r="E789" s="1427"/>
      <c r="F789" s="1427"/>
      <c r="G789" s="1427"/>
      <c r="H789" s="1427"/>
      <c r="N789" s="1727"/>
    </row>
    <row r="790" spans="1:14" x14ac:dyDescent="0.2">
      <c r="A790" s="1424"/>
      <c r="B790" s="1427"/>
      <c r="C790" s="1430"/>
      <c r="D790" s="1427"/>
      <c r="E790" s="1427"/>
      <c r="F790" s="1427"/>
      <c r="G790" s="1427"/>
      <c r="H790" s="1427"/>
      <c r="N790" s="1727"/>
    </row>
    <row r="791" spans="1:14" x14ac:dyDescent="0.2">
      <c r="A791" s="1424"/>
      <c r="B791" s="1427"/>
      <c r="C791" s="1430"/>
      <c r="D791" s="1427"/>
      <c r="E791" s="1427"/>
      <c r="F791" s="1427"/>
      <c r="G791" s="1427"/>
      <c r="H791" s="1427"/>
      <c r="N791" s="1727"/>
    </row>
    <row r="792" spans="1:14" x14ac:dyDescent="0.2">
      <c r="A792" s="1424"/>
      <c r="B792" s="1427"/>
      <c r="C792" s="1430"/>
      <c r="D792" s="1427"/>
      <c r="E792" s="1427"/>
      <c r="F792" s="1427"/>
      <c r="G792" s="1427"/>
      <c r="H792" s="1427"/>
      <c r="N792" s="1727"/>
    </row>
    <row r="793" spans="1:14" x14ac:dyDescent="0.2">
      <c r="A793" s="1424"/>
      <c r="B793" s="1427"/>
      <c r="C793" s="1430"/>
      <c r="D793" s="1427"/>
      <c r="E793" s="1427"/>
      <c r="F793" s="1427"/>
      <c r="G793" s="1427"/>
      <c r="H793" s="1427"/>
      <c r="N793" s="1727"/>
    </row>
    <row r="794" spans="1:14" x14ac:dyDescent="0.2">
      <c r="A794" s="1424"/>
      <c r="B794" s="1427"/>
      <c r="C794" s="1430"/>
      <c r="D794" s="1427"/>
      <c r="E794" s="1427"/>
      <c r="F794" s="1427"/>
      <c r="G794" s="1427"/>
      <c r="H794" s="1427"/>
      <c r="N794" s="1727"/>
    </row>
    <row r="795" spans="1:14" x14ac:dyDescent="0.2">
      <c r="A795" s="1424"/>
      <c r="B795" s="1427"/>
      <c r="C795" s="1430"/>
      <c r="D795" s="1427"/>
      <c r="E795" s="1427"/>
      <c r="F795" s="1427"/>
      <c r="G795" s="1427"/>
      <c r="H795" s="1427"/>
      <c r="N795" s="1727"/>
    </row>
    <row r="796" spans="1:14" x14ac:dyDescent="0.2">
      <c r="A796" s="1424"/>
      <c r="B796" s="1427"/>
      <c r="C796" s="1430"/>
      <c r="D796" s="1427"/>
      <c r="E796" s="1427"/>
      <c r="F796" s="1427"/>
      <c r="G796" s="1427"/>
      <c r="H796" s="1427"/>
      <c r="N796" s="1727"/>
    </row>
    <row r="797" spans="1:14" x14ac:dyDescent="0.2">
      <c r="A797" s="1424"/>
      <c r="B797" s="1427"/>
      <c r="C797" s="1430"/>
      <c r="D797" s="1427"/>
      <c r="E797" s="1427"/>
      <c r="F797" s="1427"/>
      <c r="G797" s="1427"/>
      <c r="H797" s="1427"/>
      <c r="N797" s="1727"/>
    </row>
    <row r="798" spans="1:14" x14ac:dyDescent="0.2">
      <c r="A798" s="1424"/>
      <c r="B798" s="1427"/>
      <c r="C798" s="1430"/>
      <c r="D798" s="1427"/>
      <c r="E798" s="1427"/>
      <c r="F798" s="1427"/>
      <c r="G798" s="1427"/>
      <c r="H798" s="1427"/>
      <c r="N798" s="1727"/>
    </row>
    <row r="799" spans="1:14" x14ac:dyDescent="0.2">
      <c r="A799" s="1424"/>
      <c r="B799" s="1427"/>
      <c r="C799" s="1430"/>
      <c r="D799" s="1427"/>
      <c r="E799" s="1427"/>
      <c r="F799" s="1427"/>
      <c r="G799" s="1427"/>
      <c r="H799" s="1427"/>
      <c r="N799" s="1727"/>
    </row>
    <row r="800" spans="1:14" x14ac:dyDescent="0.2">
      <c r="A800" s="1424"/>
      <c r="B800" s="1427"/>
      <c r="C800" s="1430"/>
      <c r="D800" s="1427"/>
      <c r="E800" s="1427"/>
      <c r="F800" s="1427"/>
      <c r="G800" s="1427"/>
      <c r="H800" s="1427"/>
      <c r="N800" s="1727"/>
    </row>
    <row r="801" spans="1:14" x14ac:dyDescent="0.2">
      <c r="A801" s="1424"/>
      <c r="B801" s="1427"/>
      <c r="C801" s="1430"/>
      <c r="D801" s="1427"/>
      <c r="E801" s="1427"/>
      <c r="F801" s="1427"/>
      <c r="G801" s="1427"/>
      <c r="H801" s="1427"/>
      <c r="N801" s="1727"/>
    </row>
    <row r="802" spans="1:14" x14ac:dyDescent="0.2">
      <c r="A802" s="1424"/>
      <c r="B802" s="1427"/>
      <c r="C802" s="1430"/>
      <c r="D802" s="1427"/>
      <c r="E802" s="1427"/>
      <c r="F802" s="1427"/>
      <c r="G802" s="1427"/>
      <c r="H802" s="1427"/>
      <c r="N802" s="1727"/>
    </row>
    <row r="803" spans="1:14" x14ac:dyDescent="0.2">
      <c r="A803" s="1424"/>
      <c r="B803" s="1427"/>
      <c r="C803" s="1430"/>
      <c r="D803" s="1427"/>
      <c r="E803" s="1427"/>
      <c r="F803" s="1427"/>
      <c r="G803" s="1427"/>
      <c r="H803" s="1427"/>
      <c r="N803" s="1727"/>
    </row>
    <row r="804" spans="1:14" x14ac:dyDescent="0.2">
      <c r="A804" s="1424"/>
      <c r="B804" s="1427"/>
      <c r="C804" s="1430"/>
      <c r="D804" s="1427"/>
      <c r="E804" s="1427"/>
      <c r="F804" s="1427"/>
      <c r="G804" s="1427"/>
      <c r="H804" s="1427"/>
      <c r="N804" s="1727"/>
    </row>
    <row r="805" spans="1:14" x14ac:dyDescent="0.2">
      <c r="A805" s="1424"/>
      <c r="B805" s="1427"/>
      <c r="C805" s="1430"/>
      <c r="D805" s="1427"/>
      <c r="E805" s="1427"/>
      <c r="F805" s="1427"/>
      <c r="G805" s="1427"/>
      <c r="H805" s="1427"/>
      <c r="N805" s="1727"/>
    </row>
    <row r="806" spans="1:14" x14ac:dyDescent="0.2">
      <c r="A806" s="1424"/>
      <c r="B806" s="1427"/>
      <c r="C806" s="1430"/>
      <c r="D806" s="1427"/>
      <c r="E806" s="1427"/>
      <c r="F806" s="1427"/>
      <c r="G806" s="1427"/>
      <c r="H806" s="1427"/>
      <c r="N806" s="1727"/>
    </row>
    <row r="807" spans="1:14" x14ac:dyDescent="0.2">
      <c r="A807" s="1424"/>
      <c r="B807" s="1427"/>
      <c r="C807" s="1430"/>
      <c r="D807" s="1427"/>
      <c r="E807" s="1427"/>
      <c r="F807" s="1427"/>
      <c r="G807" s="1427"/>
      <c r="H807" s="1427"/>
      <c r="N807" s="1727"/>
    </row>
    <row r="808" spans="1:14" x14ac:dyDescent="0.2">
      <c r="A808" s="1424"/>
      <c r="B808" s="1427"/>
      <c r="C808" s="1430"/>
      <c r="D808" s="1427"/>
      <c r="E808" s="1427"/>
      <c r="F808" s="1427"/>
      <c r="G808" s="1427"/>
      <c r="H808" s="1427"/>
      <c r="N808" s="1727"/>
    </row>
    <row r="809" spans="1:14" x14ac:dyDescent="0.2">
      <c r="A809" s="1424"/>
      <c r="B809" s="1427"/>
      <c r="C809" s="1430"/>
      <c r="D809" s="1427"/>
      <c r="E809" s="1427"/>
      <c r="F809" s="1427"/>
      <c r="G809" s="1427"/>
      <c r="H809" s="1427"/>
      <c r="N809" s="1727"/>
    </row>
    <row r="810" spans="1:14" x14ac:dyDescent="0.2">
      <c r="A810" s="1424"/>
      <c r="B810" s="1427"/>
      <c r="C810" s="1430"/>
      <c r="D810" s="1427"/>
      <c r="E810" s="1427"/>
      <c r="F810" s="1427"/>
      <c r="G810" s="1427"/>
      <c r="H810" s="1427"/>
      <c r="N810" s="1727"/>
    </row>
    <row r="811" spans="1:14" x14ac:dyDescent="0.2">
      <c r="A811" s="1424"/>
      <c r="B811" s="1427"/>
      <c r="C811" s="1430"/>
      <c r="D811" s="1427"/>
      <c r="E811" s="1427"/>
      <c r="F811" s="1427"/>
      <c r="G811" s="1427"/>
      <c r="H811" s="1427"/>
      <c r="N811" s="1727"/>
    </row>
    <row r="812" spans="1:14" x14ac:dyDescent="0.2">
      <c r="A812" s="1424"/>
      <c r="B812" s="1427"/>
      <c r="C812" s="1430"/>
      <c r="D812" s="1427"/>
      <c r="E812" s="1427"/>
      <c r="F812" s="1427"/>
      <c r="G812" s="1427"/>
      <c r="H812" s="1427"/>
      <c r="N812" s="1727"/>
    </row>
    <row r="813" spans="1:14" x14ac:dyDescent="0.2">
      <c r="A813" s="1424"/>
      <c r="B813" s="1427"/>
      <c r="C813" s="1430"/>
      <c r="D813" s="1427"/>
      <c r="E813" s="1427"/>
      <c r="F813" s="1427"/>
      <c r="G813" s="1427"/>
      <c r="H813" s="1427"/>
      <c r="N813" s="1727"/>
    </row>
    <row r="814" spans="1:14" x14ac:dyDescent="0.2">
      <c r="A814" s="1424"/>
      <c r="B814" s="1427"/>
      <c r="C814" s="1430"/>
      <c r="D814" s="1427"/>
      <c r="E814" s="1427"/>
      <c r="F814" s="1427"/>
      <c r="G814" s="1427"/>
      <c r="H814" s="1427"/>
      <c r="N814" s="1727"/>
    </row>
    <row r="815" spans="1:14" x14ac:dyDescent="0.2">
      <c r="A815" s="1424"/>
      <c r="B815" s="1427"/>
      <c r="C815" s="1430"/>
      <c r="D815" s="1427"/>
      <c r="E815" s="1427"/>
      <c r="F815" s="1427"/>
      <c r="G815" s="1427"/>
      <c r="H815" s="1427"/>
      <c r="N815" s="1727"/>
    </row>
    <row r="816" spans="1:14" x14ac:dyDescent="0.2">
      <c r="A816" s="1424"/>
      <c r="B816" s="1427"/>
      <c r="C816" s="1430"/>
      <c r="D816" s="1427"/>
      <c r="E816" s="1427"/>
      <c r="F816" s="1427"/>
      <c r="G816" s="1427"/>
      <c r="H816" s="1427"/>
      <c r="N816" s="1727"/>
    </row>
    <row r="817" spans="1:14" x14ac:dyDescent="0.2">
      <c r="A817" s="1424"/>
      <c r="B817" s="1427"/>
      <c r="C817" s="1430"/>
      <c r="D817" s="1427"/>
      <c r="E817" s="1427"/>
      <c r="F817" s="1427"/>
      <c r="G817" s="1427"/>
      <c r="H817" s="1427"/>
      <c r="N817" s="1727"/>
    </row>
    <row r="818" spans="1:14" x14ac:dyDescent="0.2">
      <c r="A818" s="1424"/>
      <c r="B818" s="1427"/>
      <c r="C818" s="1430"/>
      <c r="D818" s="1427"/>
      <c r="E818" s="1427"/>
      <c r="F818" s="1427"/>
      <c r="G818" s="1427"/>
      <c r="H818" s="1427"/>
      <c r="N818" s="1727"/>
    </row>
    <row r="819" spans="1:14" x14ac:dyDescent="0.2">
      <c r="A819" s="1424"/>
      <c r="B819" s="1427"/>
      <c r="C819" s="1430"/>
      <c r="D819" s="1427"/>
      <c r="E819" s="1427"/>
      <c r="F819" s="1427"/>
      <c r="G819" s="1427"/>
      <c r="H819" s="1427"/>
      <c r="N819" s="1727"/>
    </row>
    <row r="820" spans="1:14" x14ac:dyDescent="0.2">
      <c r="A820" s="1424"/>
      <c r="B820" s="1427"/>
      <c r="C820" s="1430"/>
      <c r="D820" s="1427"/>
      <c r="E820" s="1427"/>
      <c r="F820" s="1427"/>
      <c r="G820" s="1427"/>
      <c r="H820" s="1427"/>
      <c r="N820" s="1727"/>
    </row>
    <row r="821" spans="1:14" x14ac:dyDescent="0.2">
      <c r="A821" s="1424"/>
      <c r="B821" s="1427"/>
      <c r="C821" s="1430"/>
      <c r="D821" s="1427"/>
      <c r="E821" s="1427"/>
      <c r="F821" s="1427"/>
      <c r="G821" s="1427"/>
      <c r="H821" s="1427"/>
      <c r="N821" s="1727"/>
    </row>
    <row r="822" spans="1:14" x14ac:dyDescent="0.2">
      <c r="A822" s="1424"/>
      <c r="B822" s="1427"/>
      <c r="C822" s="1430"/>
      <c r="D822" s="1427"/>
      <c r="E822" s="1427"/>
      <c r="F822" s="1427"/>
      <c r="G822" s="1427"/>
      <c r="H822" s="1427"/>
      <c r="N822" s="1727"/>
    </row>
    <row r="823" spans="1:14" x14ac:dyDescent="0.2">
      <c r="A823" s="1424"/>
      <c r="B823" s="1427"/>
      <c r="C823" s="1430"/>
      <c r="D823" s="1427"/>
      <c r="E823" s="1427"/>
      <c r="F823" s="1427"/>
      <c r="G823" s="1427"/>
      <c r="H823" s="1427"/>
      <c r="N823" s="1727"/>
    </row>
    <row r="824" spans="1:14" x14ac:dyDescent="0.2">
      <c r="A824" s="1424"/>
      <c r="B824" s="1427"/>
      <c r="C824" s="1430"/>
      <c r="D824" s="1427"/>
      <c r="E824" s="1427"/>
      <c r="F824" s="1427"/>
      <c r="G824" s="1427"/>
      <c r="H824" s="1427"/>
      <c r="N824" s="1727"/>
    </row>
    <row r="825" spans="1:14" x14ac:dyDescent="0.2">
      <c r="A825" s="1424"/>
      <c r="B825" s="1427"/>
      <c r="C825" s="1430"/>
      <c r="D825" s="1427"/>
      <c r="E825" s="1427"/>
      <c r="F825" s="1427"/>
      <c r="G825" s="1427"/>
      <c r="H825" s="1427"/>
      <c r="N825" s="1727"/>
    </row>
    <row r="826" spans="1:14" x14ac:dyDescent="0.2">
      <c r="A826" s="1424"/>
      <c r="B826" s="1427"/>
      <c r="C826" s="1430"/>
      <c r="D826" s="1427"/>
      <c r="E826" s="1427"/>
      <c r="F826" s="1427"/>
      <c r="G826" s="1427"/>
      <c r="H826" s="1427"/>
      <c r="N826" s="1727"/>
    </row>
    <row r="827" spans="1:14" x14ac:dyDescent="0.2">
      <c r="A827" s="1424"/>
      <c r="B827" s="1427"/>
      <c r="C827" s="1430"/>
      <c r="D827" s="1427"/>
      <c r="E827" s="1427"/>
      <c r="F827" s="1427"/>
      <c r="G827" s="1427"/>
      <c r="H827" s="1427"/>
      <c r="N827" s="1727"/>
    </row>
    <row r="828" spans="1:14" x14ac:dyDescent="0.2">
      <c r="A828" s="1424"/>
      <c r="B828" s="1427"/>
      <c r="C828" s="1430"/>
      <c r="D828" s="1427"/>
      <c r="E828" s="1427"/>
      <c r="F828" s="1427"/>
      <c r="G828" s="1427"/>
      <c r="H828" s="1427"/>
      <c r="N828" s="1727"/>
    </row>
    <row r="829" spans="1:14" x14ac:dyDescent="0.2">
      <c r="A829" s="1424"/>
      <c r="B829" s="1427"/>
      <c r="C829" s="1430"/>
      <c r="D829" s="1427"/>
      <c r="E829" s="1427"/>
      <c r="F829" s="1427"/>
      <c r="G829" s="1427"/>
      <c r="H829" s="1427"/>
      <c r="N829" s="1727"/>
    </row>
    <row r="830" spans="1:14" x14ac:dyDescent="0.2">
      <c r="A830" s="1424"/>
      <c r="B830" s="1427"/>
      <c r="C830" s="1430"/>
      <c r="D830" s="1427"/>
      <c r="E830" s="1427"/>
      <c r="F830" s="1427"/>
      <c r="G830" s="1427"/>
      <c r="H830" s="1427"/>
      <c r="N830" s="1727"/>
    </row>
    <row r="831" spans="1:14" x14ac:dyDescent="0.2">
      <c r="A831" s="1424"/>
      <c r="B831" s="1427"/>
      <c r="C831" s="1430"/>
      <c r="D831" s="1427"/>
      <c r="E831" s="1427"/>
      <c r="F831" s="1427"/>
      <c r="G831" s="1427"/>
      <c r="H831" s="1427"/>
      <c r="N831" s="1727"/>
    </row>
    <row r="832" spans="1:14" x14ac:dyDescent="0.2">
      <c r="A832" s="1424"/>
      <c r="B832" s="1427"/>
      <c r="C832" s="1430"/>
      <c r="D832" s="1427"/>
      <c r="E832" s="1427"/>
      <c r="F832" s="1427"/>
      <c r="G832" s="1427"/>
      <c r="H832" s="1427"/>
      <c r="N832" s="1727"/>
    </row>
    <row r="833" spans="1:14" x14ac:dyDescent="0.2">
      <c r="A833" s="1424"/>
      <c r="B833" s="1427"/>
      <c r="C833" s="1430"/>
      <c r="D833" s="1427"/>
      <c r="E833" s="1427"/>
      <c r="F833" s="1427"/>
      <c r="G833" s="1427"/>
      <c r="H833" s="1427"/>
      <c r="N833" s="1727"/>
    </row>
    <row r="834" spans="1:14" x14ac:dyDescent="0.2">
      <c r="A834" s="1424"/>
      <c r="B834" s="1427"/>
      <c r="C834" s="1430"/>
      <c r="D834" s="1427"/>
      <c r="E834" s="1427"/>
      <c r="F834" s="1427"/>
      <c r="G834" s="1427"/>
      <c r="H834" s="1427"/>
      <c r="N834" s="1727"/>
    </row>
    <row r="835" spans="1:14" x14ac:dyDescent="0.2">
      <c r="A835" s="1424"/>
      <c r="B835" s="1427"/>
      <c r="C835" s="1430"/>
      <c r="D835" s="1427"/>
      <c r="E835" s="1427"/>
      <c r="F835" s="1427"/>
      <c r="G835" s="1427"/>
      <c r="H835" s="1427"/>
      <c r="N835" s="1727"/>
    </row>
    <row r="836" spans="1:14" x14ac:dyDescent="0.2">
      <c r="A836" s="1424"/>
      <c r="B836" s="1427"/>
      <c r="C836" s="1430"/>
      <c r="D836" s="1427"/>
      <c r="E836" s="1427"/>
      <c r="F836" s="1427"/>
      <c r="G836" s="1427"/>
      <c r="H836" s="1427"/>
      <c r="N836" s="1727"/>
    </row>
    <row r="837" spans="1:14" x14ac:dyDescent="0.2">
      <c r="A837" s="1424"/>
      <c r="B837" s="1427"/>
      <c r="C837" s="1430"/>
      <c r="D837" s="1427"/>
      <c r="E837" s="1427"/>
      <c r="F837" s="1427"/>
      <c r="G837" s="1427"/>
      <c r="H837" s="1427"/>
      <c r="N837" s="1727"/>
    </row>
    <row r="838" spans="1:14" x14ac:dyDescent="0.2">
      <c r="A838" s="1424"/>
      <c r="B838" s="1427"/>
      <c r="C838" s="1430"/>
      <c r="D838" s="1427"/>
      <c r="E838" s="1427"/>
      <c r="F838" s="1427"/>
      <c r="G838" s="1427"/>
      <c r="H838" s="1427"/>
      <c r="N838" s="1727"/>
    </row>
    <row r="839" spans="1:14" x14ac:dyDescent="0.2">
      <c r="A839" s="1424"/>
      <c r="B839" s="1427"/>
      <c r="C839" s="1430"/>
      <c r="D839" s="1427"/>
      <c r="E839" s="1427"/>
      <c r="F839" s="1427"/>
      <c r="G839" s="1427"/>
      <c r="H839" s="1427"/>
      <c r="N839" s="1727"/>
    </row>
    <row r="840" spans="1:14" x14ac:dyDescent="0.2">
      <c r="A840" s="1424"/>
      <c r="B840" s="1427"/>
      <c r="C840" s="1430"/>
      <c r="D840" s="1427"/>
      <c r="E840" s="1427"/>
      <c r="F840" s="1427"/>
      <c r="G840" s="1427"/>
      <c r="H840" s="1427"/>
      <c r="N840" s="1727"/>
    </row>
    <row r="841" spans="1:14" x14ac:dyDescent="0.2">
      <c r="A841" s="1424"/>
      <c r="B841" s="1427"/>
      <c r="C841" s="1430"/>
      <c r="D841" s="1427"/>
      <c r="E841" s="1427"/>
      <c r="F841" s="1427"/>
      <c r="G841" s="1427"/>
      <c r="H841" s="1427"/>
      <c r="N841" s="1727"/>
    </row>
    <row r="842" spans="1:14" x14ac:dyDescent="0.2">
      <c r="A842" s="1424"/>
      <c r="B842" s="1427"/>
      <c r="C842" s="1430"/>
      <c r="D842" s="1427"/>
      <c r="E842" s="1427"/>
      <c r="F842" s="1427"/>
      <c r="G842" s="1427"/>
      <c r="H842" s="1427"/>
      <c r="N842" s="1727"/>
    </row>
    <row r="843" spans="1:14" x14ac:dyDescent="0.2">
      <c r="A843" s="1424"/>
      <c r="B843" s="1427"/>
      <c r="C843" s="1430"/>
      <c r="D843" s="1427"/>
      <c r="E843" s="1427"/>
      <c r="F843" s="1427"/>
      <c r="G843" s="1427"/>
      <c r="H843" s="1427"/>
      <c r="N843" s="1727"/>
    </row>
    <row r="844" spans="1:14" x14ac:dyDescent="0.2">
      <c r="A844" s="1424"/>
      <c r="B844" s="1427"/>
      <c r="C844" s="1430"/>
      <c r="D844" s="1427"/>
      <c r="E844" s="1427"/>
      <c r="F844" s="1427"/>
      <c r="G844" s="1427"/>
      <c r="H844" s="1427"/>
      <c r="N844" s="1727"/>
    </row>
    <row r="845" spans="1:14" x14ac:dyDescent="0.2">
      <c r="A845" s="1424"/>
      <c r="B845" s="1427"/>
      <c r="C845" s="1430"/>
      <c r="D845" s="1427"/>
      <c r="E845" s="1427"/>
      <c r="F845" s="1427"/>
      <c r="G845" s="1427"/>
      <c r="H845" s="1427"/>
      <c r="N845" s="1727"/>
    </row>
    <row r="846" spans="1:14" x14ac:dyDescent="0.2">
      <c r="A846" s="1424"/>
      <c r="B846" s="1427"/>
      <c r="C846" s="1430"/>
      <c r="D846" s="1427"/>
      <c r="E846" s="1427"/>
      <c r="F846" s="1427"/>
      <c r="G846" s="1427"/>
      <c r="H846" s="1427"/>
      <c r="N846" s="1727"/>
    </row>
    <row r="847" spans="1:14" x14ac:dyDescent="0.2">
      <c r="A847" s="1424"/>
      <c r="B847" s="1427"/>
      <c r="C847" s="1430"/>
      <c r="D847" s="1427"/>
      <c r="E847" s="1427"/>
      <c r="F847" s="1427"/>
      <c r="G847" s="1427"/>
      <c r="H847" s="1427"/>
      <c r="N847" s="1727"/>
    </row>
    <row r="848" spans="1:14" x14ac:dyDescent="0.2">
      <c r="A848" s="1424"/>
      <c r="B848" s="1427"/>
      <c r="C848" s="1430"/>
      <c r="D848" s="1427"/>
      <c r="E848" s="1427"/>
      <c r="F848" s="1427"/>
      <c r="G848" s="1427"/>
      <c r="H848" s="1427"/>
      <c r="N848" s="1727"/>
    </row>
    <row r="849" spans="1:14" x14ac:dyDescent="0.2">
      <c r="A849" s="1424"/>
      <c r="B849" s="1427"/>
      <c r="C849" s="1430"/>
      <c r="D849" s="1427"/>
      <c r="E849" s="1427"/>
      <c r="F849" s="1427"/>
      <c r="G849" s="1427"/>
      <c r="H849" s="1427"/>
      <c r="N849" s="1727"/>
    </row>
    <row r="850" spans="1:14" x14ac:dyDescent="0.2">
      <c r="A850" s="1424"/>
      <c r="B850" s="1427"/>
      <c r="C850" s="1430"/>
      <c r="D850" s="1427"/>
      <c r="E850" s="1427"/>
      <c r="F850" s="1427"/>
      <c r="G850" s="1427"/>
      <c r="H850" s="1427"/>
      <c r="N850" s="1727"/>
    </row>
    <row r="851" spans="1:14" x14ac:dyDescent="0.2">
      <c r="A851" s="1424"/>
      <c r="B851" s="1427"/>
      <c r="C851" s="1430"/>
      <c r="D851" s="1427"/>
      <c r="E851" s="1427"/>
      <c r="F851" s="1427"/>
      <c r="G851" s="1427"/>
      <c r="H851" s="1427"/>
      <c r="N851" s="1727"/>
    </row>
    <row r="852" spans="1:14" x14ac:dyDescent="0.2">
      <c r="A852" s="1424"/>
      <c r="B852" s="1427"/>
      <c r="C852" s="1430"/>
      <c r="D852" s="1427"/>
      <c r="E852" s="1427"/>
      <c r="F852" s="1427"/>
      <c r="G852" s="1427"/>
      <c r="H852" s="1427"/>
      <c r="N852" s="1727"/>
    </row>
    <row r="853" spans="1:14" x14ac:dyDescent="0.2">
      <c r="A853" s="1424"/>
      <c r="B853" s="1427"/>
      <c r="C853" s="1430"/>
      <c r="D853" s="1427"/>
      <c r="E853" s="1427"/>
      <c r="F853" s="1427"/>
      <c r="G853" s="1427"/>
      <c r="H853" s="1427"/>
      <c r="N853" s="1727"/>
    </row>
    <row r="854" spans="1:14" x14ac:dyDescent="0.2">
      <c r="A854" s="1424"/>
      <c r="B854" s="1427"/>
      <c r="C854" s="1430"/>
      <c r="D854" s="1427"/>
      <c r="E854" s="1427"/>
      <c r="F854" s="1427"/>
      <c r="G854" s="1427"/>
      <c r="H854" s="1427"/>
      <c r="N854" s="1727"/>
    </row>
    <row r="855" spans="1:14" x14ac:dyDescent="0.2">
      <c r="A855" s="1424"/>
      <c r="B855" s="1427"/>
      <c r="C855" s="1430"/>
      <c r="D855" s="1427"/>
      <c r="E855" s="1427"/>
      <c r="F855" s="1427"/>
      <c r="G855" s="1427"/>
      <c r="H855" s="1427"/>
      <c r="N855" s="1727"/>
    </row>
    <row r="856" spans="1:14" x14ac:dyDescent="0.2">
      <c r="A856" s="1424"/>
      <c r="B856" s="1427"/>
      <c r="C856" s="1430"/>
      <c r="D856" s="1427"/>
      <c r="E856" s="1427"/>
      <c r="F856" s="1427"/>
      <c r="G856" s="1427"/>
      <c r="H856" s="1427"/>
      <c r="N856" s="1727"/>
    </row>
    <row r="857" spans="1:14" x14ac:dyDescent="0.2">
      <c r="A857" s="1424"/>
      <c r="B857" s="1427"/>
      <c r="C857" s="1430"/>
      <c r="D857" s="1427"/>
      <c r="E857" s="1427"/>
      <c r="F857" s="1427"/>
      <c r="G857" s="1427"/>
      <c r="H857" s="1427"/>
      <c r="N857" s="1727"/>
    </row>
    <row r="858" spans="1:14" x14ac:dyDescent="0.2">
      <c r="A858" s="1424"/>
      <c r="B858" s="1427"/>
      <c r="C858" s="1430"/>
      <c r="D858" s="1427"/>
      <c r="E858" s="1427"/>
      <c r="F858" s="1427"/>
      <c r="G858" s="1427"/>
      <c r="H858" s="1427"/>
      <c r="N858" s="1727"/>
    </row>
    <row r="859" spans="1:14" x14ac:dyDescent="0.2">
      <c r="A859" s="1424"/>
      <c r="B859" s="1427"/>
      <c r="C859" s="1430"/>
      <c r="D859" s="1427"/>
      <c r="E859" s="1427"/>
      <c r="F859" s="1427"/>
      <c r="G859" s="1427"/>
      <c r="H859" s="1427"/>
      <c r="N859" s="1727"/>
    </row>
    <row r="860" spans="1:14" x14ac:dyDescent="0.2">
      <c r="A860" s="1424"/>
      <c r="B860" s="1427"/>
      <c r="C860" s="1430"/>
      <c r="D860" s="1427"/>
      <c r="E860" s="1427"/>
      <c r="F860" s="1427"/>
      <c r="G860" s="1427"/>
      <c r="H860" s="1427"/>
      <c r="N860" s="1727"/>
    </row>
    <row r="861" spans="1:14" x14ac:dyDescent="0.2">
      <c r="A861" s="1424"/>
      <c r="B861" s="1427"/>
      <c r="C861" s="1430"/>
      <c r="D861" s="1427"/>
      <c r="E861" s="1427"/>
      <c r="F861" s="1427"/>
      <c r="G861" s="1427"/>
      <c r="H861" s="1427"/>
      <c r="N861" s="1727"/>
    </row>
    <row r="862" spans="1:14" x14ac:dyDescent="0.2">
      <c r="A862" s="1424"/>
      <c r="B862" s="1427"/>
      <c r="C862" s="1430"/>
      <c r="D862" s="1427"/>
      <c r="E862" s="1427"/>
      <c r="F862" s="1427"/>
      <c r="G862" s="1427"/>
      <c r="H862" s="1427"/>
      <c r="N862" s="1727"/>
    </row>
    <row r="863" spans="1:14" x14ac:dyDescent="0.2">
      <c r="A863" s="1424"/>
      <c r="B863" s="1427"/>
      <c r="C863" s="1430"/>
      <c r="D863" s="1427"/>
      <c r="E863" s="1427"/>
      <c r="F863" s="1427"/>
      <c r="G863" s="1427"/>
      <c r="H863" s="1427"/>
      <c r="N863" s="1727"/>
    </row>
    <row r="864" spans="1:14" x14ac:dyDescent="0.2">
      <c r="A864" s="1424"/>
      <c r="B864" s="1427"/>
      <c r="C864" s="1430"/>
      <c r="D864" s="1427"/>
      <c r="E864" s="1427"/>
      <c r="F864" s="1427"/>
      <c r="G864" s="1427"/>
      <c r="H864" s="1427"/>
      <c r="N864" s="1727"/>
    </row>
    <row r="865" spans="1:14" x14ac:dyDescent="0.2">
      <c r="A865" s="1424"/>
      <c r="B865" s="1427"/>
      <c r="C865" s="1430"/>
      <c r="D865" s="1427"/>
      <c r="E865" s="1427"/>
      <c r="F865" s="1427"/>
      <c r="G865" s="1427"/>
      <c r="H865" s="1427"/>
      <c r="N865" s="1727"/>
    </row>
    <row r="866" spans="1:14" x14ac:dyDescent="0.2">
      <c r="A866" s="1424"/>
      <c r="B866" s="1427"/>
      <c r="C866" s="1430"/>
      <c r="D866" s="1427"/>
      <c r="E866" s="1427"/>
      <c r="F866" s="1427"/>
      <c r="G866" s="1427"/>
      <c r="H866" s="1427"/>
      <c r="N866" s="1727"/>
    </row>
    <row r="867" spans="1:14" x14ac:dyDescent="0.2">
      <c r="A867" s="1424"/>
      <c r="B867" s="1427"/>
      <c r="C867" s="1430"/>
      <c r="D867" s="1427"/>
      <c r="E867" s="1427"/>
      <c r="F867" s="1427"/>
      <c r="G867" s="1427"/>
      <c r="H867" s="1427"/>
      <c r="N867" s="1727"/>
    </row>
    <row r="868" spans="1:14" x14ac:dyDescent="0.2">
      <c r="A868" s="1424"/>
      <c r="B868" s="1427"/>
      <c r="C868" s="1430"/>
      <c r="D868" s="1427"/>
      <c r="E868" s="1427"/>
      <c r="F868" s="1427"/>
      <c r="G868" s="1427"/>
      <c r="H868" s="1427"/>
      <c r="N868" s="1727"/>
    </row>
    <row r="869" spans="1:14" x14ac:dyDescent="0.2">
      <c r="A869" s="1424"/>
      <c r="B869" s="1427"/>
      <c r="C869" s="1430"/>
      <c r="D869" s="1427"/>
      <c r="E869" s="1427"/>
      <c r="F869" s="1427"/>
      <c r="G869" s="1427"/>
      <c r="H869" s="1427"/>
      <c r="N869" s="1727"/>
    </row>
    <row r="870" spans="1:14" x14ac:dyDescent="0.2">
      <c r="A870" s="1424"/>
      <c r="B870" s="1427"/>
      <c r="C870" s="1430"/>
      <c r="D870" s="1427"/>
      <c r="E870" s="1427"/>
      <c r="F870" s="1427"/>
      <c r="G870" s="1427"/>
      <c r="H870" s="1427"/>
      <c r="N870" s="1727"/>
    </row>
    <row r="871" spans="1:14" x14ac:dyDescent="0.2">
      <c r="A871" s="1424"/>
      <c r="B871" s="1427"/>
      <c r="C871" s="1430"/>
      <c r="D871" s="1427"/>
      <c r="E871" s="1427"/>
      <c r="F871" s="1427"/>
      <c r="G871" s="1427"/>
      <c r="H871" s="1427"/>
      <c r="N871" s="1727"/>
    </row>
    <row r="872" spans="1:14" x14ac:dyDescent="0.2">
      <c r="A872" s="1424"/>
      <c r="B872" s="1427"/>
      <c r="C872" s="1430"/>
      <c r="D872" s="1427"/>
      <c r="E872" s="1427"/>
      <c r="F872" s="1427"/>
      <c r="G872" s="1427"/>
      <c r="H872" s="1427"/>
      <c r="N872" s="1727"/>
    </row>
    <row r="873" spans="1:14" x14ac:dyDescent="0.2">
      <c r="A873" s="1424"/>
      <c r="B873" s="1427"/>
      <c r="C873" s="1430"/>
      <c r="D873" s="1427"/>
      <c r="E873" s="1427"/>
      <c r="F873" s="1427"/>
      <c r="G873" s="1427"/>
      <c r="H873" s="1427"/>
      <c r="N873" s="1727"/>
    </row>
    <row r="874" spans="1:14" x14ac:dyDescent="0.2">
      <c r="A874" s="1424"/>
      <c r="B874" s="1427"/>
      <c r="C874" s="1430"/>
      <c r="D874" s="1427"/>
      <c r="E874" s="1427"/>
      <c r="F874" s="1427"/>
      <c r="G874" s="1427"/>
      <c r="H874" s="1427"/>
      <c r="N874" s="1727"/>
    </row>
    <row r="875" spans="1:14" x14ac:dyDescent="0.2">
      <c r="A875" s="1424"/>
      <c r="B875" s="1427"/>
      <c r="C875" s="1430"/>
      <c r="D875" s="1427"/>
      <c r="E875" s="1427"/>
      <c r="F875" s="1427"/>
      <c r="G875" s="1427"/>
      <c r="H875" s="1427"/>
      <c r="N875" s="1727"/>
    </row>
    <row r="876" spans="1:14" x14ac:dyDescent="0.2">
      <c r="A876" s="1424"/>
      <c r="B876" s="1427"/>
      <c r="C876" s="1430"/>
      <c r="D876" s="1427"/>
      <c r="E876" s="1427"/>
      <c r="F876" s="1427"/>
      <c r="G876" s="1427"/>
      <c r="H876" s="1427"/>
      <c r="N876" s="1727"/>
    </row>
    <row r="877" spans="1:14" x14ac:dyDescent="0.2">
      <c r="A877" s="1424"/>
      <c r="B877" s="1427"/>
      <c r="C877" s="1430"/>
      <c r="D877" s="1427"/>
      <c r="E877" s="1427"/>
      <c r="F877" s="1427"/>
      <c r="G877" s="1427"/>
      <c r="H877" s="1427"/>
      <c r="N877" s="1727"/>
    </row>
    <row r="878" spans="1:14" x14ac:dyDescent="0.2">
      <c r="A878" s="1424"/>
      <c r="B878" s="1427"/>
      <c r="C878" s="1430"/>
      <c r="D878" s="1427"/>
      <c r="E878" s="1427"/>
      <c r="F878" s="1427"/>
      <c r="G878" s="1427"/>
      <c r="H878" s="1427"/>
      <c r="N878" s="1727"/>
    </row>
    <row r="879" spans="1:14" x14ac:dyDescent="0.2">
      <c r="A879" s="1424"/>
      <c r="B879" s="1427"/>
      <c r="C879" s="1430"/>
      <c r="D879" s="1427"/>
      <c r="E879" s="1427"/>
      <c r="F879" s="1427"/>
      <c r="G879" s="1427"/>
      <c r="H879" s="1427"/>
      <c r="N879" s="1727"/>
    </row>
    <row r="880" spans="1:14" x14ac:dyDescent="0.2">
      <c r="A880" s="1424"/>
      <c r="B880" s="1427"/>
      <c r="C880" s="1430"/>
      <c r="D880" s="1427"/>
      <c r="E880" s="1427"/>
      <c r="F880" s="1427"/>
      <c r="G880" s="1427"/>
      <c r="H880" s="1427"/>
      <c r="N880" s="1727"/>
    </row>
    <row r="881" spans="1:14" x14ac:dyDescent="0.2">
      <c r="A881" s="1424"/>
      <c r="B881" s="1427"/>
      <c r="C881" s="1430"/>
      <c r="D881" s="1427"/>
      <c r="E881" s="1427"/>
      <c r="F881" s="1427"/>
      <c r="G881" s="1427"/>
      <c r="H881" s="1427"/>
      <c r="N881" s="1727"/>
    </row>
    <row r="882" spans="1:14" x14ac:dyDescent="0.2">
      <c r="A882" s="1424"/>
      <c r="B882" s="1427"/>
      <c r="C882" s="1430"/>
      <c r="D882" s="1427"/>
      <c r="E882" s="1427"/>
      <c r="F882" s="1427"/>
      <c r="G882" s="1427"/>
      <c r="H882" s="1427"/>
      <c r="N882" s="1727"/>
    </row>
    <row r="883" spans="1:14" x14ac:dyDescent="0.2">
      <c r="A883" s="1424"/>
      <c r="B883" s="1427"/>
      <c r="C883" s="1430"/>
      <c r="D883" s="1427"/>
      <c r="E883" s="1427"/>
      <c r="F883" s="1427"/>
      <c r="G883" s="1427"/>
      <c r="H883" s="1427"/>
      <c r="N883" s="1727"/>
    </row>
    <row r="884" spans="1:14" x14ac:dyDescent="0.2">
      <c r="A884" s="1424"/>
      <c r="B884" s="1427"/>
      <c r="C884" s="1430"/>
      <c r="D884" s="1427"/>
      <c r="E884" s="1427"/>
      <c r="F884" s="1427"/>
      <c r="G884" s="1427"/>
      <c r="H884" s="1427"/>
      <c r="N884" s="1727"/>
    </row>
    <row r="885" spans="1:14" x14ac:dyDescent="0.2">
      <c r="A885" s="1424"/>
      <c r="B885" s="1427"/>
      <c r="C885" s="1430"/>
      <c r="D885" s="1427"/>
      <c r="E885" s="1427"/>
      <c r="F885" s="1427"/>
      <c r="G885" s="1427"/>
      <c r="H885" s="1427"/>
      <c r="N885" s="1727"/>
    </row>
    <row r="886" spans="1:14" x14ac:dyDescent="0.2">
      <c r="A886" s="1424"/>
      <c r="B886" s="1427"/>
      <c r="C886" s="1430"/>
      <c r="D886" s="1427"/>
      <c r="E886" s="1427"/>
      <c r="F886" s="1427"/>
      <c r="G886" s="1427"/>
      <c r="H886" s="1427"/>
      <c r="N886" s="1727"/>
    </row>
    <row r="887" spans="1:14" x14ac:dyDescent="0.2">
      <c r="A887" s="1424"/>
      <c r="B887" s="1427"/>
      <c r="C887" s="1430"/>
      <c r="D887" s="1427"/>
      <c r="E887" s="1427"/>
      <c r="F887" s="1427"/>
      <c r="G887" s="1427"/>
      <c r="H887" s="1427"/>
      <c r="N887" s="1727"/>
    </row>
    <row r="888" spans="1:14" x14ac:dyDescent="0.2">
      <c r="A888" s="1424"/>
      <c r="B888" s="1427"/>
      <c r="C888" s="1430"/>
      <c r="D888" s="1427"/>
      <c r="E888" s="1427"/>
      <c r="F888" s="1427"/>
      <c r="G888" s="1427"/>
      <c r="H888" s="1427"/>
      <c r="N888" s="1727"/>
    </row>
    <row r="889" spans="1:14" x14ac:dyDescent="0.2">
      <c r="A889" s="1424"/>
      <c r="B889" s="1427"/>
      <c r="C889" s="1430"/>
      <c r="D889" s="1427"/>
      <c r="E889" s="1427"/>
      <c r="F889" s="1427"/>
      <c r="G889" s="1427"/>
      <c r="H889" s="1427"/>
      <c r="N889" s="1727"/>
    </row>
    <row r="890" spans="1:14" x14ac:dyDescent="0.2">
      <c r="A890" s="1424"/>
      <c r="B890" s="1427"/>
      <c r="C890" s="1430"/>
      <c r="D890" s="1427"/>
      <c r="E890" s="1427"/>
      <c r="F890" s="1427"/>
      <c r="G890" s="1427"/>
      <c r="H890" s="1427"/>
      <c r="N890" s="1727"/>
    </row>
    <row r="891" spans="1:14" x14ac:dyDescent="0.2">
      <c r="A891" s="1424"/>
      <c r="B891" s="1427"/>
      <c r="C891" s="1430"/>
      <c r="D891" s="1427"/>
      <c r="E891" s="1427"/>
      <c r="F891" s="1427"/>
      <c r="G891" s="1427"/>
      <c r="H891" s="1427"/>
      <c r="N891" s="1727"/>
    </row>
    <row r="892" spans="1:14" x14ac:dyDescent="0.2">
      <c r="A892" s="1424"/>
      <c r="B892" s="1427"/>
      <c r="C892" s="1430"/>
      <c r="D892" s="1427"/>
      <c r="E892" s="1427"/>
      <c r="F892" s="1427"/>
      <c r="G892" s="1427"/>
      <c r="H892" s="1427"/>
      <c r="N892" s="1727"/>
    </row>
    <row r="893" spans="1:14" x14ac:dyDescent="0.2">
      <c r="A893" s="1424"/>
      <c r="B893" s="1427"/>
      <c r="C893" s="1430"/>
      <c r="D893" s="1427"/>
      <c r="E893" s="1427"/>
      <c r="F893" s="1427"/>
      <c r="G893" s="1427"/>
      <c r="H893" s="1427"/>
      <c r="N893" s="1727"/>
    </row>
    <row r="894" spans="1:14" x14ac:dyDescent="0.2">
      <c r="A894" s="1424"/>
      <c r="B894" s="1427"/>
      <c r="C894" s="1430"/>
      <c r="D894" s="1427"/>
      <c r="E894" s="1427"/>
      <c r="F894" s="1427"/>
      <c r="G894" s="1427"/>
      <c r="H894" s="1427"/>
      <c r="N894" s="1727"/>
    </row>
    <row r="895" spans="1:14" x14ac:dyDescent="0.2">
      <c r="A895" s="1424"/>
      <c r="B895" s="1427"/>
      <c r="C895" s="1430"/>
      <c r="D895" s="1427"/>
      <c r="E895" s="1427"/>
      <c r="F895" s="1427"/>
      <c r="G895" s="1427"/>
      <c r="H895" s="1427"/>
      <c r="N895" s="1727"/>
    </row>
    <row r="896" spans="1:14" x14ac:dyDescent="0.2">
      <c r="A896" s="1424"/>
      <c r="B896" s="1427"/>
      <c r="C896" s="1430"/>
      <c r="D896" s="1427"/>
      <c r="E896" s="1427"/>
      <c r="F896" s="1427"/>
      <c r="G896" s="1427"/>
      <c r="H896" s="1427"/>
      <c r="N896" s="1727"/>
    </row>
    <row r="897" spans="1:14" x14ac:dyDescent="0.2">
      <c r="A897" s="1424"/>
      <c r="B897" s="1427"/>
      <c r="C897" s="1430"/>
      <c r="D897" s="1427"/>
      <c r="E897" s="1427"/>
      <c r="F897" s="1427"/>
      <c r="G897" s="1427"/>
      <c r="H897" s="1427"/>
      <c r="N897" s="1727"/>
    </row>
    <row r="898" spans="1:14" x14ac:dyDescent="0.2">
      <c r="A898" s="1424"/>
      <c r="B898" s="1427"/>
      <c r="C898" s="1430"/>
      <c r="D898" s="1427"/>
      <c r="E898" s="1427"/>
      <c r="F898" s="1427"/>
      <c r="G898" s="1427"/>
      <c r="H898" s="1427"/>
      <c r="N898" s="1727"/>
    </row>
    <row r="899" spans="1:14" x14ac:dyDescent="0.2">
      <c r="A899" s="1424"/>
      <c r="B899" s="1427"/>
      <c r="C899" s="1430"/>
      <c r="D899" s="1427"/>
      <c r="E899" s="1427"/>
      <c r="F899" s="1427"/>
      <c r="G899" s="1427"/>
      <c r="H899" s="1427"/>
      <c r="N899" s="1727"/>
    </row>
    <row r="900" spans="1:14" x14ac:dyDescent="0.2">
      <c r="A900" s="1424"/>
      <c r="B900" s="1427"/>
      <c r="C900" s="1430"/>
      <c r="D900" s="1427"/>
      <c r="E900" s="1427"/>
      <c r="F900" s="1427"/>
      <c r="G900" s="1427"/>
      <c r="H900" s="1427"/>
      <c r="N900" s="1727"/>
    </row>
    <row r="901" spans="1:14" x14ac:dyDescent="0.2">
      <c r="A901" s="1424"/>
      <c r="B901" s="1427"/>
      <c r="C901" s="1430"/>
      <c r="D901" s="1427"/>
      <c r="E901" s="1427"/>
      <c r="F901" s="1427"/>
      <c r="G901" s="1427"/>
      <c r="H901" s="1427"/>
      <c r="N901" s="1727"/>
    </row>
    <row r="902" spans="1:14" x14ac:dyDescent="0.2">
      <c r="A902" s="1424"/>
      <c r="B902" s="1427"/>
      <c r="C902" s="1430"/>
      <c r="D902" s="1427"/>
      <c r="E902" s="1427"/>
      <c r="F902" s="1427"/>
      <c r="G902" s="1427"/>
      <c r="H902" s="1427"/>
      <c r="N902" s="1727"/>
    </row>
    <row r="903" spans="1:14" x14ac:dyDescent="0.2">
      <c r="A903" s="1424"/>
      <c r="B903" s="1427"/>
      <c r="C903" s="1430"/>
      <c r="D903" s="1427"/>
      <c r="E903" s="1427"/>
      <c r="F903" s="1427"/>
      <c r="G903" s="1427"/>
      <c r="H903" s="1427"/>
      <c r="N903" s="1727"/>
    </row>
    <row r="904" spans="1:14" x14ac:dyDescent="0.2">
      <c r="A904" s="1424"/>
      <c r="B904" s="1427"/>
      <c r="C904" s="1430"/>
      <c r="D904" s="1427"/>
      <c r="E904" s="1427"/>
      <c r="F904" s="1427"/>
      <c r="G904" s="1427"/>
      <c r="H904" s="1427"/>
      <c r="N904" s="1727"/>
    </row>
    <row r="905" spans="1:14" x14ac:dyDescent="0.2">
      <c r="A905" s="1424"/>
      <c r="B905" s="1427"/>
      <c r="C905" s="1430"/>
      <c r="D905" s="1427"/>
      <c r="E905" s="1427"/>
      <c r="F905" s="1427"/>
      <c r="G905" s="1427"/>
      <c r="H905" s="1427"/>
      <c r="N905" s="1727"/>
    </row>
    <row r="906" spans="1:14" x14ac:dyDescent="0.2">
      <c r="A906" s="1424"/>
      <c r="B906" s="1427"/>
      <c r="C906" s="1430"/>
      <c r="D906" s="1427"/>
      <c r="E906" s="1427"/>
      <c r="F906" s="1427"/>
      <c r="G906" s="1427"/>
      <c r="H906" s="1427"/>
      <c r="N906" s="1727"/>
    </row>
    <row r="907" spans="1:14" x14ac:dyDescent="0.2">
      <c r="A907" s="1424"/>
      <c r="B907" s="1427"/>
      <c r="C907" s="1430"/>
      <c r="D907" s="1427"/>
      <c r="E907" s="1427"/>
      <c r="F907" s="1427"/>
      <c r="G907" s="1427"/>
      <c r="H907" s="1427"/>
      <c r="N907" s="1727"/>
    </row>
    <row r="908" spans="1:14" x14ac:dyDescent="0.2">
      <c r="A908" s="1424"/>
      <c r="B908" s="1427"/>
      <c r="C908" s="1430"/>
      <c r="D908" s="1427"/>
      <c r="E908" s="1427"/>
      <c r="F908" s="1427"/>
      <c r="G908" s="1427"/>
      <c r="H908" s="1427"/>
      <c r="N908" s="1727"/>
    </row>
    <row r="909" spans="1:14" x14ac:dyDescent="0.2">
      <c r="A909" s="1424"/>
      <c r="B909" s="1427"/>
      <c r="C909" s="1430"/>
      <c r="D909" s="1427"/>
      <c r="E909" s="1427"/>
      <c r="F909" s="1427"/>
      <c r="G909" s="1427"/>
      <c r="H909" s="1427"/>
      <c r="N909" s="1727"/>
    </row>
    <row r="910" spans="1:14" x14ac:dyDescent="0.2">
      <c r="A910" s="1424"/>
      <c r="B910" s="1427"/>
      <c r="C910" s="1430"/>
      <c r="D910" s="1427"/>
      <c r="E910" s="1427"/>
      <c r="F910" s="1427"/>
      <c r="G910" s="1427"/>
      <c r="H910" s="1427"/>
      <c r="N910" s="1727"/>
    </row>
    <row r="911" spans="1:14" x14ac:dyDescent="0.2">
      <c r="A911" s="1424"/>
      <c r="B911" s="1427"/>
      <c r="C911" s="1430"/>
      <c r="D911" s="1427"/>
      <c r="E911" s="1427"/>
      <c r="F911" s="1427"/>
      <c r="G911" s="1427"/>
      <c r="H911" s="1427"/>
      <c r="N911" s="1727"/>
    </row>
    <row r="912" spans="1:14" x14ac:dyDescent="0.2">
      <c r="A912" s="1424"/>
      <c r="B912" s="1427"/>
      <c r="C912" s="1430"/>
      <c r="D912" s="1427"/>
      <c r="E912" s="1427"/>
      <c r="F912" s="1427"/>
      <c r="G912" s="1427"/>
      <c r="H912" s="1427"/>
      <c r="N912" s="1727"/>
    </row>
    <row r="913" spans="1:14" x14ac:dyDescent="0.2">
      <c r="A913" s="1424"/>
      <c r="B913" s="1427"/>
      <c r="C913" s="1430"/>
      <c r="D913" s="1427"/>
      <c r="E913" s="1427"/>
      <c r="F913" s="1427"/>
      <c r="G913" s="1427"/>
      <c r="H913" s="1427"/>
      <c r="N913" s="1727"/>
    </row>
    <row r="914" spans="1:14" x14ac:dyDescent="0.2">
      <c r="A914" s="1424"/>
      <c r="B914" s="1427"/>
      <c r="C914" s="1430"/>
      <c r="D914" s="1427"/>
      <c r="E914" s="1427"/>
      <c r="F914" s="1427"/>
      <c r="G914" s="1427"/>
      <c r="H914" s="1427"/>
      <c r="N914" s="1727"/>
    </row>
    <row r="915" spans="1:14" x14ac:dyDescent="0.2">
      <c r="A915" s="1424"/>
      <c r="B915" s="1427"/>
      <c r="C915" s="1430"/>
      <c r="D915" s="1427"/>
      <c r="E915" s="1427"/>
      <c r="F915" s="1427"/>
      <c r="G915" s="1427"/>
      <c r="H915" s="1427"/>
      <c r="N915" s="1727"/>
    </row>
    <row r="916" spans="1:14" x14ac:dyDescent="0.2">
      <c r="A916" s="1424"/>
      <c r="B916" s="1427"/>
      <c r="C916" s="1430"/>
      <c r="D916" s="1427"/>
      <c r="E916" s="1427"/>
      <c r="F916" s="1427"/>
      <c r="G916" s="1427"/>
      <c r="H916" s="1427"/>
      <c r="N916" s="1727"/>
    </row>
    <row r="917" spans="1:14" x14ac:dyDescent="0.2">
      <c r="A917" s="1424"/>
      <c r="B917" s="1427"/>
      <c r="C917" s="1430"/>
      <c r="D917" s="1427"/>
      <c r="E917" s="1427"/>
      <c r="F917" s="1427"/>
      <c r="G917" s="1427"/>
      <c r="H917" s="1427"/>
      <c r="N917" s="1727"/>
    </row>
    <row r="918" spans="1:14" x14ac:dyDescent="0.2">
      <c r="A918" s="1424"/>
      <c r="B918" s="1427"/>
      <c r="C918" s="1430"/>
      <c r="D918" s="1427"/>
      <c r="E918" s="1427"/>
      <c r="F918" s="1427"/>
      <c r="G918" s="1427"/>
      <c r="H918" s="1427"/>
      <c r="N918" s="1727"/>
    </row>
    <row r="919" spans="1:14" x14ac:dyDescent="0.2">
      <c r="A919" s="1424"/>
      <c r="B919" s="1427"/>
      <c r="C919" s="1430"/>
      <c r="D919" s="1427"/>
      <c r="E919" s="1427"/>
      <c r="F919" s="1427"/>
      <c r="G919" s="1427"/>
      <c r="H919" s="1427"/>
      <c r="N919" s="1727"/>
    </row>
    <row r="920" spans="1:14" x14ac:dyDescent="0.2">
      <c r="A920" s="1424"/>
      <c r="B920" s="1427"/>
      <c r="C920" s="1430"/>
      <c r="D920" s="1427"/>
      <c r="E920" s="1427"/>
      <c r="F920" s="1427"/>
      <c r="G920" s="1427"/>
      <c r="H920" s="1427"/>
      <c r="N920" s="1727"/>
    </row>
    <row r="921" spans="1:14" x14ac:dyDescent="0.2">
      <c r="A921" s="1424"/>
      <c r="B921" s="1427"/>
      <c r="C921" s="1430"/>
      <c r="D921" s="1427"/>
      <c r="E921" s="1427"/>
      <c r="F921" s="1427"/>
      <c r="G921" s="1427"/>
      <c r="H921" s="1427"/>
      <c r="N921" s="1727"/>
    </row>
    <row r="922" spans="1:14" x14ac:dyDescent="0.2">
      <c r="A922" s="1424"/>
      <c r="B922" s="1427"/>
      <c r="C922" s="1430"/>
      <c r="D922" s="1427"/>
      <c r="E922" s="1427"/>
      <c r="F922" s="1427"/>
      <c r="G922" s="1427"/>
      <c r="H922" s="1427"/>
      <c r="N922" s="1727"/>
    </row>
    <row r="923" spans="1:14" x14ac:dyDescent="0.2">
      <c r="A923" s="1424"/>
      <c r="B923" s="1427"/>
      <c r="C923" s="1430"/>
      <c r="D923" s="1427"/>
      <c r="E923" s="1427"/>
      <c r="F923" s="1427"/>
      <c r="G923" s="1427"/>
      <c r="H923" s="1427"/>
      <c r="N923" s="1727"/>
    </row>
    <row r="924" spans="1:14" x14ac:dyDescent="0.2">
      <c r="A924" s="1424"/>
      <c r="B924" s="1427"/>
      <c r="C924" s="1430"/>
      <c r="D924" s="1427"/>
      <c r="E924" s="1427"/>
      <c r="F924" s="1427"/>
      <c r="G924" s="1427"/>
      <c r="H924" s="1427"/>
      <c r="N924" s="1727"/>
    </row>
    <row r="925" spans="1:14" x14ac:dyDescent="0.2">
      <c r="A925" s="1424"/>
      <c r="B925" s="1427"/>
      <c r="C925" s="1430"/>
      <c r="D925" s="1427"/>
      <c r="E925" s="1427"/>
      <c r="F925" s="1427"/>
      <c r="G925" s="1427"/>
      <c r="H925" s="1427"/>
      <c r="N925" s="1727"/>
    </row>
    <row r="926" spans="1:14" x14ac:dyDescent="0.2">
      <c r="A926" s="1424"/>
      <c r="B926" s="1427"/>
      <c r="C926" s="1430"/>
      <c r="D926" s="1427"/>
      <c r="E926" s="1427"/>
      <c r="F926" s="1427"/>
      <c r="G926" s="1427"/>
      <c r="H926" s="1427"/>
      <c r="N926" s="1727"/>
    </row>
    <row r="927" spans="1:14" x14ac:dyDescent="0.2">
      <c r="A927" s="1424"/>
      <c r="B927" s="1427"/>
      <c r="C927" s="1430"/>
      <c r="D927" s="1427"/>
      <c r="E927" s="1427"/>
      <c r="F927" s="1427"/>
      <c r="G927" s="1427"/>
      <c r="H927" s="1427"/>
      <c r="N927" s="1727"/>
    </row>
    <row r="928" spans="1:14" x14ac:dyDescent="0.2">
      <c r="A928" s="1424"/>
      <c r="B928" s="1427"/>
      <c r="C928" s="1430"/>
      <c r="D928" s="1427"/>
      <c r="E928" s="1427"/>
      <c r="F928" s="1427"/>
      <c r="G928" s="1427"/>
      <c r="H928" s="1427"/>
      <c r="N928" s="1727"/>
    </row>
    <row r="929" spans="1:14" x14ac:dyDescent="0.2">
      <c r="A929" s="1424"/>
      <c r="B929" s="1427"/>
      <c r="C929" s="1430"/>
      <c r="D929" s="1427"/>
      <c r="E929" s="1427"/>
      <c r="F929" s="1427"/>
      <c r="G929" s="1427"/>
      <c r="H929" s="1427"/>
      <c r="N929" s="1727"/>
    </row>
    <row r="930" spans="1:14" x14ac:dyDescent="0.2">
      <c r="A930" s="1424"/>
      <c r="B930" s="1427"/>
      <c r="C930" s="1430"/>
      <c r="D930" s="1427"/>
      <c r="E930" s="1427"/>
      <c r="F930" s="1427"/>
      <c r="G930" s="1427"/>
      <c r="H930" s="1427"/>
      <c r="N930" s="1727"/>
    </row>
    <row r="931" spans="1:14" x14ac:dyDescent="0.2">
      <c r="A931" s="1424"/>
      <c r="B931" s="1427"/>
      <c r="C931" s="1430"/>
      <c r="D931" s="1427"/>
      <c r="E931" s="1427"/>
      <c r="F931" s="1427"/>
      <c r="G931" s="1427"/>
      <c r="H931" s="1427"/>
      <c r="N931" s="1727"/>
    </row>
    <row r="932" spans="1:14" x14ac:dyDescent="0.2">
      <c r="A932" s="1424"/>
      <c r="B932" s="1427"/>
      <c r="C932" s="1430"/>
      <c r="D932" s="1427"/>
      <c r="E932" s="1427"/>
      <c r="F932" s="1427"/>
      <c r="G932" s="1427"/>
      <c r="H932" s="1427"/>
      <c r="N932" s="1727"/>
    </row>
    <row r="933" spans="1:14" x14ac:dyDescent="0.2">
      <c r="A933" s="1424"/>
      <c r="B933" s="1427"/>
      <c r="C933" s="1430"/>
      <c r="D933" s="1427"/>
      <c r="E933" s="1427"/>
      <c r="F933" s="1427"/>
      <c r="G933" s="1427"/>
      <c r="H933" s="1427"/>
      <c r="N933" s="1727"/>
    </row>
    <row r="934" spans="1:14" x14ac:dyDescent="0.2">
      <c r="A934" s="1424"/>
      <c r="B934" s="1427"/>
      <c r="C934" s="1430"/>
      <c r="D934" s="1427"/>
      <c r="E934" s="1427"/>
      <c r="F934" s="1427"/>
      <c r="G934" s="1427"/>
      <c r="H934" s="1427"/>
      <c r="N934" s="1727"/>
    </row>
    <row r="935" spans="1:14" x14ac:dyDescent="0.2">
      <c r="A935" s="1424"/>
      <c r="B935" s="1427"/>
      <c r="C935" s="1430"/>
      <c r="D935" s="1427"/>
      <c r="E935" s="1427"/>
      <c r="F935" s="1427"/>
      <c r="G935" s="1427"/>
      <c r="H935" s="1427"/>
      <c r="N935" s="1727"/>
    </row>
    <row r="936" spans="1:14" x14ac:dyDescent="0.2">
      <c r="A936" s="1424"/>
      <c r="B936" s="1427"/>
      <c r="C936" s="1430"/>
      <c r="D936" s="1427"/>
      <c r="E936" s="1427"/>
      <c r="F936" s="1427"/>
      <c r="G936" s="1427"/>
      <c r="H936" s="1427"/>
      <c r="N936" s="1727"/>
    </row>
    <row r="937" spans="1:14" x14ac:dyDescent="0.2">
      <c r="A937" s="1424"/>
      <c r="B937" s="1427"/>
      <c r="C937" s="1430"/>
      <c r="D937" s="1427"/>
      <c r="E937" s="1427"/>
      <c r="F937" s="1427"/>
      <c r="G937" s="1427"/>
      <c r="H937" s="1427"/>
      <c r="N937" s="1727"/>
    </row>
    <row r="938" spans="1:14" x14ac:dyDescent="0.2">
      <c r="A938" s="1424"/>
      <c r="B938" s="1427"/>
      <c r="C938" s="1430"/>
      <c r="D938" s="1427"/>
      <c r="E938" s="1427"/>
      <c r="F938" s="1427"/>
      <c r="G938" s="1427"/>
      <c r="H938" s="1427"/>
      <c r="N938" s="1727"/>
    </row>
    <row r="939" spans="1:14" x14ac:dyDescent="0.2">
      <c r="A939" s="1424"/>
      <c r="B939" s="1427"/>
      <c r="C939" s="1430"/>
      <c r="D939" s="1427"/>
      <c r="E939" s="1427"/>
      <c r="F939" s="1427"/>
      <c r="G939" s="1427"/>
      <c r="H939" s="1427"/>
      <c r="N939" s="1727"/>
    </row>
    <row r="940" spans="1:14" x14ac:dyDescent="0.2">
      <c r="A940" s="1424"/>
      <c r="B940" s="1427"/>
      <c r="C940" s="1430"/>
      <c r="D940" s="1427"/>
      <c r="E940" s="1427"/>
      <c r="F940" s="1427"/>
      <c r="G940" s="1427"/>
      <c r="H940" s="1427"/>
      <c r="N940" s="1727"/>
    </row>
    <row r="941" spans="1:14" x14ac:dyDescent="0.2">
      <c r="A941" s="1424"/>
      <c r="B941" s="1427"/>
      <c r="C941" s="1430"/>
      <c r="D941" s="1427"/>
      <c r="E941" s="1427"/>
      <c r="F941" s="1427"/>
      <c r="G941" s="1427"/>
      <c r="H941" s="1427"/>
      <c r="N941" s="1727"/>
    </row>
    <row r="942" spans="1:14" x14ac:dyDescent="0.2">
      <c r="A942" s="1424"/>
      <c r="B942" s="1427"/>
      <c r="C942" s="1430"/>
      <c r="D942" s="1427"/>
      <c r="E942" s="1427"/>
      <c r="F942" s="1427"/>
      <c r="G942" s="1427"/>
      <c r="H942" s="1427"/>
      <c r="N942" s="1727"/>
    </row>
    <row r="943" spans="1:14" x14ac:dyDescent="0.2">
      <c r="A943" s="1424"/>
      <c r="B943" s="1427"/>
      <c r="C943" s="1430"/>
      <c r="D943" s="1427"/>
      <c r="E943" s="1427"/>
      <c r="F943" s="1427"/>
      <c r="G943" s="1427"/>
      <c r="H943" s="1427"/>
      <c r="N943" s="1727"/>
    </row>
    <row r="944" spans="1:14" x14ac:dyDescent="0.2">
      <c r="A944" s="1424"/>
      <c r="B944" s="1427"/>
      <c r="C944" s="1430"/>
      <c r="D944" s="1427"/>
      <c r="E944" s="1427"/>
      <c r="F944" s="1427"/>
      <c r="G944" s="1427"/>
      <c r="H944" s="1427"/>
      <c r="N944" s="1727"/>
    </row>
    <row r="945" spans="1:14" x14ac:dyDescent="0.2">
      <c r="A945" s="1424"/>
      <c r="B945" s="1427"/>
      <c r="C945" s="1430"/>
      <c r="D945" s="1427"/>
      <c r="E945" s="1427"/>
      <c r="F945" s="1427"/>
      <c r="G945" s="1427"/>
      <c r="H945" s="1427"/>
      <c r="N945" s="1727"/>
    </row>
    <row r="946" spans="1:14" x14ac:dyDescent="0.2">
      <c r="A946" s="1424"/>
      <c r="B946" s="1427"/>
      <c r="C946" s="1430"/>
      <c r="D946" s="1427"/>
      <c r="E946" s="1427"/>
      <c r="F946" s="1427"/>
      <c r="G946" s="1427"/>
      <c r="H946" s="1427"/>
      <c r="N946" s="1727"/>
    </row>
    <row r="947" spans="1:14" x14ac:dyDescent="0.2">
      <c r="A947" s="1424"/>
      <c r="B947" s="1427"/>
      <c r="C947" s="1430"/>
      <c r="D947" s="1427"/>
      <c r="E947" s="1427"/>
      <c r="F947" s="1427"/>
      <c r="G947" s="1427"/>
      <c r="H947" s="1427"/>
      <c r="N947" s="1727"/>
    </row>
    <row r="948" spans="1:14" x14ac:dyDescent="0.2">
      <c r="A948" s="1424"/>
      <c r="B948" s="1427"/>
      <c r="C948" s="1430"/>
      <c r="D948" s="1427"/>
      <c r="E948" s="1427"/>
      <c r="F948" s="1427"/>
      <c r="G948" s="1427"/>
      <c r="H948" s="1427"/>
      <c r="N948" s="1727"/>
    </row>
    <row r="949" spans="1:14" x14ac:dyDescent="0.2">
      <c r="A949" s="1424"/>
      <c r="B949" s="1427"/>
      <c r="C949" s="1430"/>
      <c r="D949" s="1427"/>
      <c r="E949" s="1427"/>
      <c r="F949" s="1427"/>
      <c r="G949" s="1427"/>
      <c r="H949" s="1427"/>
      <c r="N949" s="1727"/>
    </row>
    <row r="950" spans="1:14" x14ac:dyDescent="0.2">
      <c r="A950" s="1424"/>
      <c r="B950" s="1427"/>
      <c r="C950" s="1430"/>
      <c r="D950" s="1427"/>
      <c r="E950" s="1427"/>
      <c r="F950" s="1427"/>
      <c r="G950" s="1427"/>
      <c r="H950" s="1427"/>
      <c r="N950" s="1727"/>
    </row>
    <row r="951" spans="1:14" x14ac:dyDescent="0.2">
      <c r="A951" s="1424"/>
      <c r="B951" s="1427"/>
      <c r="C951" s="1430"/>
      <c r="D951" s="1427"/>
      <c r="E951" s="1427"/>
      <c r="F951" s="1427"/>
      <c r="G951" s="1427"/>
      <c r="H951" s="1427"/>
      <c r="N951" s="1727"/>
    </row>
    <row r="952" spans="1:14" x14ac:dyDescent="0.2">
      <c r="A952" s="1424"/>
      <c r="B952" s="1427"/>
      <c r="C952" s="1430"/>
      <c r="D952" s="1427"/>
      <c r="E952" s="1427"/>
      <c r="F952" s="1427"/>
      <c r="G952" s="1427"/>
      <c r="H952" s="1427"/>
      <c r="N952" s="1727"/>
    </row>
    <row r="953" spans="1:14" x14ac:dyDescent="0.2">
      <c r="A953" s="1424"/>
      <c r="B953" s="1427"/>
      <c r="C953" s="1430"/>
      <c r="D953" s="1427"/>
      <c r="E953" s="1427"/>
      <c r="F953" s="1427"/>
      <c r="G953" s="1427"/>
      <c r="H953" s="1427"/>
      <c r="N953" s="1727"/>
    </row>
    <row r="954" spans="1:14" x14ac:dyDescent="0.2">
      <c r="A954" s="1424"/>
      <c r="B954" s="1427"/>
      <c r="C954" s="1430"/>
      <c r="D954" s="1427"/>
      <c r="E954" s="1427"/>
      <c r="F954" s="1427"/>
      <c r="G954" s="1427"/>
      <c r="H954" s="1427"/>
      <c r="N954" s="1727"/>
    </row>
    <row r="955" spans="1:14" x14ac:dyDescent="0.2">
      <c r="A955" s="1424"/>
      <c r="B955" s="1427"/>
      <c r="C955" s="1430"/>
      <c r="D955" s="1427"/>
      <c r="E955" s="1427"/>
      <c r="F955" s="1427"/>
      <c r="G955" s="1427"/>
      <c r="H955" s="1427"/>
      <c r="N955" s="1727"/>
    </row>
    <row r="956" spans="1:14" x14ac:dyDescent="0.2">
      <c r="A956" s="1424"/>
      <c r="B956" s="1427"/>
      <c r="C956" s="1430"/>
      <c r="D956" s="1427"/>
      <c r="E956" s="1427"/>
      <c r="F956" s="1427"/>
      <c r="G956" s="1427"/>
      <c r="H956" s="1427"/>
      <c r="N956" s="1727"/>
    </row>
    <row r="957" spans="1:14" x14ac:dyDescent="0.2">
      <c r="A957" s="1424"/>
      <c r="B957" s="1427"/>
      <c r="C957" s="1430"/>
      <c r="D957" s="1427"/>
      <c r="E957" s="1427"/>
      <c r="F957" s="1427"/>
      <c r="G957" s="1427"/>
      <c r="H957" s="1427"/>
      <c r="N957" s="1727"/>
    </row>
    <row r="958" spans="1:14" x14ac:dyDescent="0.2">
      <c r="A958" s="1424"/>
      <c r="B958" s="1427"/>
      <c r="C958" s="1430"/>
      <c r="D958" s="1427"/>
      <c r="E958" s="1427"/>
      <c r="F958" s="1427"/>
      <c r="G958" s="1427"/>
      <c r="H958" s="1427"/>
      <c r="N958" s="1727"/>
    </row>
    <row r="959" spans="1:14" x14ac:dyDescent="0.2">
      <c r="A959" s="1424"/>
      <c r="B959" s="1427"/>
      <c r="C959" s="1430"/>
      <c r="D959" s="1427"/>
      <c r="E959" s="1427"/>
      <c r="F959" s="1427"/>
      <c r="G959" s="1427"/>
      <c r="H959" s="1427"/>
      <c r="N959" s="1727"/>
    </row>
    <row r="960" spans="1:14" x14ac:dyDescent="0.2">
      <c r="A960" s="1424"/>
      <c r="B960" s="1427"/>
      <c r="C960" s="1430"/>
      <c r="D960" s="1427"/>
      <c r="E960" s="1427"/>
      <c r="F960" s="1427"/>
      <c r="G960" s="1427"/>
      <c r="H960" s="1427"/>
      <c r="N960" s="1727"/>
    </row>
    <row r="961" spans="1:14" x14ac:dyDescent="0.2">
      <c r="A961" s="1424"/>
      <c r="B961" s="1427"/>
      <c r="C961" s="1430"/>
      <c r="D961" s="1427"/>
      <c r="E961" s="1427"/>
      <c r="F961" s="1427"/>
      <c r="G961" s="1427"/>
      <c r="H961" s="1427"/>
      <c r="N961" s="1727"/>
    </row>
    <row r="962" spans="1:14" x14ac:dyDescent="0.2">
      <c r="A962" s="1424"/>
      <c r="B962" s="1427"/>
      <c r="C962" s="1430"/>
      <c r="D962" s="1427"/>
      <c r="E962" s="1427"/>
      <c r="F962" s="1427"/>
      <c r="G962" s="1427"/>
      <c r="H962" s="1427"/>
      <c r="N962" s="1727"/>
    </row>
    <row r="963" spans="1:14" x14ac:dyDescent="0.2">
      <c r="A963" s="1424"/>
      <c r="B963" s="1427"/>
      <c r="C963" s="1430"/>
      <c r="D963" s="1427"/>
      <c r="E963" s="1427"/>
      <c r="F963" s="1427"/>
      <c r="G963" s="1427"/>
      <c r="H963" s="1427"/>
      <c r="N963" s="1727"/>
    </row>
    <row r="964" spans="1:14" x14ac:dyDescent="0.2">
      <c r="A964" s="1424"/>
      <c r="B964" s="1427"/>
      <c r="C964" s="1430"/>
      <c r="D964" s="1427"/>
      <c r="E964" s="1427"/>
      <c r="F964" s="1427"/>
      <c r="G964" s="1427"/>
      <c r="H964" s="1427"/>
      <c r="N964" s="1727"/>
    </row>
    <row r="965" spans="1:14" x14ac:dyDescent="0.2">
      <c r="A965" s="1424"/>
      <c r="B965" s="1427"/>
      <c r="C965" s="1430"/>
      <c r="D965" s="1427"/>
      <c r="E965" s="1427"/>
      <c r="F965" s="1427"/>
      <c r="G965" s="1427"/>
      <c r="H965" s="1427"/>
      <c r="N965" s="1727"/>
    </row>
    <row r="966" spans="1:14" x14ac:dyDescent="0.2">
      <c r="A966" s="1424"/>
      <c r="B966" s="1427"/>
      <c r="C966" s="1430"/>
      <c r="D966" s="1427"/>
      <c r="E966" s="1427"/>
      <c r="F966" s="1427"/>
      <c r="G966" s="1427"/>
      <c r="H966" s="1427"/>
      <c r="N966" s="1727"/>
    </row>
    <row r="967" spans="1:14" x14ac:dyDescent="0.2">
      <c r="A967" s="1424"/>
      <c r="B967" s="1427"/>
      <c r="C967" s="1430"/>
      <c r="D967" s="1427"/>
      <c r="E967" s="1427"/>
      <c r="F967" s="1427"/>
      <c r="G967" s="1427"/>
      <c r="H967" s="1427"/>
      <c r="N967" s="1727"/>
    </row>
    <row r="968" spans="1:14" x14ac:dyDescent="0.2">
      <c r="A968" s="1424"/>
      <c r="B968" s="1427"/>
      <c r="C968" s="1430"/>
      <c r="D968" s="1427"/>
      <c r="E968" s="1427"/>
      <c r="F968" s="1427"/>
      <c r="G968" s="1427"/>
      <c r="H968" s="1427"/>
      <c r="N968" s="1727"/>
    </row>
    <row r="969" spans="1:14" x14ac:dyDescent="0.2">
      <c r="A969" s="1424"/>
      <c r="B969" s="1427"/>
      <c r="C969" s="1430"/>
      <c r="D969" s="1427"/>
      <c r="E969" s="1427"/>
      <c r="F969" s="1427"/>
      <c r="G969" s="1427"/>
      <c r="H969" s="1427"/>
      <c r="N969" s="1727"/>
    </row>
    <row r="970" spans="1:14" x14ac:dyDescent="0.2">
      <c r="A970" s="1424"/>
      <c r="B970" s="1427"/>
      <c r="C970" s="1430"/>
      <c r="D970" s="1427"/>
      <c r="E970" s="1427"/>
      <c r="F970" s="1427"/>
      <c r="G970" s="1427"/>
      <c r="H970" s="1427"/>
      <c r="N970" s="1727"/>
    </row>
    <row r="971" spans="1:14" x14ac:dyDescent="0.2">
      <c r="A971" s="1424"/>
      <c r="B971" s="1427"/>
      <c r="C971" s="1430"/>
      <c r="D971" s="1427"/>
      <c r="E971" s="1427"/>
      <c r="F971" s="1427"/>
      <c r="G971" s="1427"/>
      <c r="H971" s="1427"/>
      <c r="N971" s="1727"/>
    </row>
    <row r="972" spans="1:14" x14ac:dyDescent="0.2">
      <c r="A972" s="1424"/>
      <c r="B972" s="1427"/>
      <c r="C972" s="1430"/>
      <c r="D972" s="1427"/>
      <c r="E972" s="1427"/>
      <c r="F972" s="1427"/>
      <c r="G972" s="1427"/>
      <c r="H972" s="1427"/>
      <c r="N972" s="1727"/>
    </row>
    <row r="973" spans="1:14" x14ac:dyDescent="0.2">
      <c r="A973" s="1424"/>
      <c r="B973" s="1427"/>
      <c r="C973" s="1430"/>
      <c r="D973" s="1427"/>
      <c r="E973" s="1427"/>
      <c r="F973" s="1427"/>
      <c r="G973" s="1427"/>
      <c r="H973" s="1427"/>
      <c r="N973" s="1727"/>
    </row>
    <row r="974" spans="1:14" x14ac:dyDescent="0.2">
      <c r="A974" s="1424"/>
      <c r="B974" s="1427"/>
      <c r="C974" s="1430"/>
      <c r="D974" s="1427"/>
      <c r="E974" s="1427"/>
      <c r="F974" s="1427"/>
      <c r="G974" s="1427"/>
      <c r="H974" s="1427"/>
      <c r="N974" s="1727"/>
    </row>
    <row r="975" spans="1:14" x14ac:dyDescent="0.2">
      <c r="A975" s="1424"/>
      <c r="B975" s="1427"/>
      <c r="C975" s="1430"/>
      <c r="D975" s="1427"/>
      <c r="E975" s="1427"/>
      <c r="F975" s="1427"/>
      <c r="G975" s="1427"/>
      <c r="H975" s="1427"/>
      <c r="N975" s="1727"/>
    </row>
    <row r="976" spans="1:14" x14ac:dyDescent="0.2">
      <c r="A976" s="1424"/>
      <c r="B976" s="1427"/>
      <c r="C976" s="1430"/>
      <c r="D976" s="1427"/>
      <c r="E976" s="1427"/>
      <c r="F976" s="1427"/>
      <c r="G976" s="1427"/>
      <c r="H976" s="1427"/>
      <c r="N976" s="1727"/>
    </row>
    <row r="977" spans="1:14" x14ac:dyDescent="0.2">
      <c r="A977" s="1424"/>
      <c r="B977" s="1427"/>
      <c r="C977" s="1430"/>
      <c r="D977" s="1427"/>
      <c r="E977" s="1427"/>
      <c r="F977" s="1427"/>
      <c r="G977" s="1427"/>
      <c r="H977" s="1427"/>
      <c r="N977" s="1727"/>
    </row>
    <row r="978" spans="1:14" x14ac:dyDescent="0.2">
      <c r="A978" s="1424"/>
      <c r="B978" s="1427"/>
      <c r="C978" s="1430"/>
      <c r="D978" s="1427"/>
      <c r="E978" s="1427"/>
      <c r="F978" s="1427"/>
      <c r="G978" s="1427"/>
      <c r="H978" s="1427"/>
      <c r="N978" s="1727"/>
    </row>
    <row r="979" spans="1:14" x14ac:dyDescent="0.2">
      <c r="A979" s="1424"/>
      <c r="B979" s="1427"/>
      <c r="C979" s="1430"/>
      <c r="D979" s="1427"/>
      <c r="E979" s="1427"/>
      <c r="F979" s="1427"/>
      <c r="G979" s="1427"/>
      <c r="H979" s="1427"/>
      <c r="N979" s="1727"/>
    </row>
    <row r="980" spans="1:14" x14ac:dyDescent="0.2">
      <c r="A980" s="1424"/>
      <c r="B980" s="1427"/>
      <c r="C980" s="1430"/>
      <c r="D980" s="1427"/>
      <c r="E980" s="1427"/>
      <c r="F980" s="1427"/>
      <c r="G980" s="1427"/>
      <c r="H980" s="1427"/>
      <c r="N980" s="1727"/>
    </row>
    <row r="981" spans="1:14" x14ac:dyDescent="0.2">
      <c r="A981" s="1424"/>
      <c r="B981" s="1427"/>
      <c r="C981" s="1430"/>
      <c r="D981" s="1427"/>
      <c r="E981" s="1427"/>
      <c r="F981" s="1427"/>
      <c r="G981" s="1427"/>
      <c r="H981" s="1427"/>
      <c r="N981" s="1727"/>
    </row>
    <row r="982" spans="1:14" x14ac:dyDescent="0.2">
      <c r="A982" s="1424"/>
      <c r="B982" s="1427"/>
      <c r="C982" s="1430"/>
      <c r="D982" s="1427"/>
      <c r="E982" s="1427"/>
      <c r="F982" s="1427"/>
      <c r="G982" s="1427"/>
      <c r="H982" s="1427"/>
      <c r="N982" s="1727"/>
    </row>
    <row r="983" spans="1:14" x14ac:dyDescent="0.2">
      <c r="A983" s="1424"/>
      <c r="B983" s="1427"/>
      <c r="C983" s="1430"/>
      <c r="D983" s="1427"/>
      <c r="E983" s="1427"/>
      <c r="F983" s="1427"/>
      <c r="G983" s="1427"/>
      <c r="H983" s="1427"/>
      <c r="N983" s="1727"/>
    </row>
    <row r="984" spans="1:14" x14ac:dyDescent="0.2">
      <c r="A984" s="1424"/>
      <c r="B984" s="1427"/>
      <c r="C984" s="1430"/>
      <c r="D984" s="1427"/>
      <c r="E984" s="1427"/>
      <c r="F984" s="1427"/>
      <c r="G984" s="1427"/>
      <c r="H984" s="1427"/>
      <c r="N984" s="1727"/>
    </row>
    <row r="985" spans="1:14" x14ac:dyDescent="0.2">
      <c r="A985" s="1424"/>
      <c r="B985" s="1427"/>
      <c r="C985" s="1430"/>
      <c r="D985" s="1427"/>
      <c r="E985" s="1427"/>
      <c r="F985" s="1427"/>
      <c r="G985" s="1427"/>
      <c r="H985" s="1427"/>
      <c r="N985" s="1727"/>
    </row>
    <row r="986" spans="1:14" x14ac:dyDescent="0.2">
      <c r="A986" s="1424"/>
      <c r="B986" s="1427"/>
      <c r="C986" s="1430"/>
      <c r="D986" s="1427"/>
      <c r="E986" s="1427"/>
      <c r="F986" s="1427"/>
      <c r="G986" s="1427"/>
      <c r="H986" s="1427"/>
      <c r="N986" s="1727"/>
    </row>
    <row r="987" spans="1:14" x14ac:dyDescent="0.2">
      <c r="A987" s="1424"/>
      <c r="B987" s="1427"/>
      <c r="C987" s="1430"/>
      <c r="D987" s="1427"/>
      <c r="E987" s="1427"/>
      <c r="F987" s="1427"/>
      <c r="G987" s="1427"/>
      <c r="H987" s="1427"/>
      <c r="N987" s="1727"/>
    </row>
    <row r="988" spans="1:14" x14ac:dyDescent="0.2">
      <c r="A988" s="1424"/>
      <c r="B988" s="1427"/>
      <c r="C988" s="1430"/>
      <c r="D988" s="1427"/>
      <c r="E988" s="1427"/>
      <c r="F988" s="1427"/>
      <c r="G988" s="1427"/>
      <c r="H988" s="1427"/>
      <c r="N988" s="1727"/>
    </row>
    <row r="989" spans="1:14" x14ac:dyDescent="0.2">
      <c r="A989" s="1424"/>
      <c r="B989" s="1427"/>
      <c r="C989" s="1430"/>
      <c r="D989" s="1427"/>
      <c r="E989" s="1427"/>
      <c r="F989" s="1427"/>
      <c r="G989" s="1427"/>
      <c r="H989" s="1427"/>
      <c r="N989" s="1727"/>
    </row>
    <row r="990" spans="1:14" x14ac:dyDescent="0.2">
      <c r="A990" s="1424"/>
      <c r="B990" s="1427"/>
      <c r="C990" s="1430"/>
      <c r="D990" s="1427"/>
      <c r="E990" s="1427"/>
      <c r="F990" s="1427"/>
      <c r="G990" s="1427"/>
      <c r="H990" s="1427"/>
      <c r="N990" s="1727"/>
    </row>
    <row r="991" spans="1:14" x14ac:dyDescent="0.2">
      <c r="A991" s="1424"/>
      <c r="B991" s="1427"/>
      <c r="C991" s="1430"/>
      <c r="D991" s="1427"/>
      <c r="E991" s="1427"/>
      <c r="F991" s="1427"/>
      <c r="G991" s="1427"/>
      <c r="H991" s="1427"/>
      <c r="N991" s="1727"/>
    </row>
    <row r="992" spans="1:14" x14ac:dyDescent="0.2">
      <c r="A992" s="1424"/>
      <c r="B992" s="1427"/>
      <c r="C992" s="1430"/>
      <c r="D992" s="1427"/>
      <c r="E992" s="1427"/>
      <c r="F992" s="1427"/>
      <c r="G992" s="1427"/>
      <c r="H992" s="1427"/>
      <c r="N992" s="1727"/>
    </row>
    <row r="993" spans="1:14" x14ac:dyDescent="0.2">
      <c r="A993" s="1424"/>
      <c r="B993" s="1427"/>
      <c r="C993" s="1430"/>
      <c r="D993" s="1427"/>
      <c r="E993" s="1427"/>
      <c r="F993" s="1427"/>
      <c r="G993" s="1427"/>
      <c r="H993" s="1427"/>
      <c r="N993" s="1727"/>
    </row>
    <row r="994" spans="1:14" x14ac:dyDescent="0.2">
      <c r="A994" s="1424"/>
      <c r="B994" s="1427"/>
      <c r="C994" s="1430"/>
      <c r="D994" s="1427"/>
      <c r="E994" s="1427"/>
      <c r="F994" s="1427"/>
      <c r="G994" s="1427"/>
      <c r="H994" s="1427"/>
      <c r="N994" s="1727"/>
    </row>
    <row r="995" spans="1:14" x14ac:dyDescent="0.2">
      <c r="A995" s="1424"/>
      <c r="B995" s="1427"/>
      <c r="C995" s="1430"/>
      <c r="D995" s="1427"/>
      <c r="E995" s="1427"/>
      <c r="F995" s="1427"/>
      <c r="G995" s="1427"/>
      <c r="H995" s="1427"/>
      <c r="N995" s="1727"/>
    </row>
    <row r="996" spans="1:14" x14ac:dyDescent="0.2">
      <c r="A996" s="1424"/>
      <c r="B996" s="1427"/>
      <c r="C996" s="1430"/>
      <c r="D996" s="1427"/>
      <c r="E996" s="1427"/>
      <c r="F996" s="1427"/>
      <c r="G996" s="1427"/>
      <c r="H996" s="1427"/>
      <c r="N996" s="1727"/>
    </row>
    <row r="997" spans="1:14" x14ac:dyDescent="0.2">
      <c r="A997" s="1424"/>
      <c r="B997" s="1427"/>
      <c r="C997" s="1430"/>
      <c r="D997" s="1427"/>
      <c r="E997" s="1427"/>
      <c r="F997" s="1427"/>
      <c r="G997" s="1427"/>
      <c r="H997" s="1427"/>
      <c r="N997" s="1727"/>
    </row>
    <row r="998" spans="1:14" x14ac:dyDescent="0.2">
      <c r="A998" s="1424"/>
      <c r="B998" s="1427"/>
      <c r="C998" s="1430"/>
      <c r="D998" s="1427"/>
      <c r="E998" s="1427"/>
      <c r="F998" s="1427"/>
      <c r="G998" s="1427"/>
      <c r="H998" s="1427"/>
      <c r="N998" s="1727"/>
    </row>
    <row r="999" spans="1:14" x14ac:dyDescent="0.2">
      <c r="A999" s="1424"/>
      <c r="B999" s="1427"/>
      <c r="C999" s="1430"/>
      <c r="D999" s="1427"/>
      <c r="E999" s="1427"/>
      <c r="F999" s="1427"/>
      <c r="G999" s="1427"/>
      <c r="H999" s="1427"/>
      <c r="N999" s="1727"/>
    </row>
    <row r="1000" spans="1:14" x14ac:dyDescent="0.2">
      <c r="A1000" s="1424"/>
      <c r="B1000" s="1427"/>
      <c r="C1000" s="1430"/>
      <c r="D1000" s="1427"/>
      <c r="E1000" s="1427"/>
      <c r="F1000" s="1427"/>
      <c r="G1000" s="1427"/>
      <c r="H1000" s="1427"/>
      <c r="N1000" s="1727"/>
    </row>
    <row r="1001" spans="1:14" x14ac:dyDescent="0.2">
      <c r="A1001" s="1424"/>
      <c r="B1001" s="1427"/>
      <c r="C1001" s="1430"/>
      <c r="D1001" s="1427"/>
      <c r="E1001" s="1427"/>
      <c r="F1001" s="1427"/>
      <c r="G1001" s="1427"/>
      <c r="H1001" s="1427"/>
      <c r="N1001" s="1727"/>
    </row>
    <row r="1002" spans="1:14" x14ac:dyDescent="0.2">
      <c r="A1002" s="1424"/>
      <c r="B1002" s="1427"/>
      <c r="C1002" s="1430"/>
      <c r="D1002" s="1427"/>
      <c r="E1002" s="1427"/>
      <c r="F1002" s="1427"/>
      <c r="G1002" s="1427"/>
      <c r="H1002" s="1427"/>
      <c r="N1002" s="1727"/>
    </row>
    <row r="1003" spans="1:14" x14ac:dyDescent="0.2">
      <c r="A1003" s="1424"/>
      <c r="B1003" s="1427"/>
      <c r="C1003" s="1430"/>
      <c r="D1003" s="1427"/>
      <c r="E1003" s="1427"/>
      <c r="F1003" s="1427"/>
      <c r="G1003" s="1427"/>
      <c r="H1003" s="1427"/>
      <c r="N1003" s="1727"/>
    </row>
    <row r="1004" spans="1:14" x14ac:dyDescent="0.2">
      <c r="A1004" s="1424"/>
      <c r="B1004" s="1427"/>
      <c r="C1004" s="1430"/>
      <c r="D1004" s="1427"/>
      <c r="E1004" s="1427"/>
      <c r="F1004" s="1427"/>
      <c r="G1004" s="1427"/>
      <c r="H1004" s="1427"/>
      <c r="N1004" s="1727"/>
    </row>
    <row r="1005" spans="1:14" x14ac:dyDescent="0.2">
      <c r="A1005" s="1424"/>
      <c r="B1005" s="1427"/>
      <c r="C1005" s="1430"/>
      <c r="D1005" s="1427"/>
      <c r="E1005" s="1427"/>
      <c r="F1005" s="1427"/>
      <c r="G1005" s="1427"/>
      <c r="H1005" s="1427"/>
      <c r="N1005" s="1727"/>
    </row>
    <row r="1006" spans="1:14" x14ac:dyDescent="0.2">
      <c r="A1006" s="1424"/>
      <c r="B1006" s="1427"/>
      <c r="C1006" s="1430"/>
      <c r="D1006" s="1427"/>
      <c r="E1006" s="1427"/>
      <c r="F1006" s="1427"/>
      <c r="G1006" s="1427"/>
      <c r="H1006" s="1427"/>
      <c r="N1006" s="1727"/>
    </row>
    <row r="1007" spans="1:14" x14ac:dyDescent="0.2">
      <c r="A1007" s="1424"/>
      <c r="B1007" s="1427"/>
      <c r="C1007" s="1430"/>
      <c r="D1007" s="1427"/>
      <c r="E1007" s="1427"/>
      <c r="F1007" s="1427"/>
      <c r="G1007" s="1427"/>
      <c r="H1007" s="1427"/>
      <c r="N1007" s="1727"/>
    </row>
    <row r="1008" spans="1:14" x14ac:dyDescent="0.2">
      <c r="A1008" s="1424"/>
      <c r="B1008" s="1427"/>
      <c r="C1008" s="1430"/>
      <c r="D1008" s="1427"/>
      <c r="E1008" s="1427"/>
      <c r="F1008" s="1427"/>
      <c r="G1008" s="1427"/>
      <c r="H1008" s="1427"/>
      <c r="N1008" s="1727"/>
    </row>
    <row r="1009" spans="1:14" x14ac:dyDescent="0.2">
      <c r="A1009" s="1424"/>
      <c r="B1009" s="1427"/>
      <c r="C1009" s="1430"/>
      <c r="D1009" s="1427"/>
      <c r="E1009" s="1427"/>
      <c r="F1009" s="1427"/>
      <c r="G1009" s="1427"/>
      <c r="H1009" s="1427"/>
      <c r="N1009" s="1727"/>
    </row>
    <row r="1010" spans="1:14" x14ac:dyDescent="0.2">
      <c r="A1010" s="1424"/>
      <c r="B1010" s="1427"/>
      <c r="C1010" s="1430"/>
      <c r="D1010" s="1427"/>
      <c r="E1010" s="1427"/>
      <c r="F1010" s="1427"/>
      <c r="G1010" s="1427"/>
      <c r="H1010" s="1427"/>
      <c r="N1010" s="1727"/>
    </row>
    <row r="1011" spans="1:14" x14ac:dyDescent="0.2">
      <c r="A1011" s="1424"/>
      <c r="B1011" s="1427"/>
      <c r="C1011" s="1430"/>
      <c r="D1011" s="1427"/>
      <c r="E1011" s="1427"/>
      <c r="F1011" s="1427"/>
      <c r="G1011" s="1427"/>
      <c r="H1011" s="1427"/>
      <c r="N1011" s="1727"/>
    </row>
    <row r="1012" spans="1:14" x14ac:dyDescent="0.2">
      <c r="A1012" s="1424"/>
      <c r="B1012" s="1427"/>
      <c r="C1012" s="1430"/>
      <c r="D1012" s="1427"/>
      <c r="E1012" s="1427"/>
      <c r="F1012" s="1427"/>
      <c r="G1012" s="1427"/>
      <c r="H1012" s="1427"/>
      <c r="N1012" s="1727"/>
    </row>
    <row r="1013" spans="1:14" x14ac:dyDescent="0.2">
      <c r="A1013" s="1424"/>
      <c r="B1013" s="1427"/>
      <c r="C1013" s="1430"/>
      <c r="D1013" s="1427"/>
      <c r="E1013" s="1427"/>
      <c r="F1013" s="1427"/>
      <c r="G1013" s="1427"/>
      <c r="H1013" s="1427"/>
      <c r="N1013" s="1727"/>
    </row>
    <row r="1014" spans="1:14" x14ac:dyDescent="0.2">
      <c r="A1014" s="1424"/>
      <c r="B1014" s="1427"/>
      <c r="C1014" s="1430"/>
      <c r="D1014" s="1427"/>
      <c r="E1014" s="1427"/>
      <c r="F1014" s="1427"/>
      <c r="G1014" s="1427"/>
      <c r="H1014" s="1427"/>
      <c r="N1014" s="1727"/>
    </row>
    <row r="1015" spans="1:14" x14ac:dyDescent="0.2">
      <c r="A1015" s="1424"/>
      <c r="B1015" s="1427"/>
      <c r="C1015" s="1430"/>
      <c r="D1015" s="1427"/>
      <c r="E1015" s="1427"/>
      <c r="F1015" s="1427"/>
      <c r="G1015" s="1427"/>
      <c r="H1015" s="1427"/>
      <c r="N1015" s="1727"/>
    </row>
    <row r="1016" spans="1:14" x14ac:dyDescent="0.2">
      <c r="A1016" s="1424"/>
      <c r="B1016" s="1427"/>
      <c r="C1016" s="1430"/>
      <c r="D1016" s="1427"/>
      <c r="E1016" s="1427"/>
      <c r="F1016" s="1427"/>
      <c r="G1016" s="1427"/>
      <c r="H1016" s="1427"/>
      <c r="N1016" s="1727"/>
    </row>
    <row r="1017" spans="1:14" x14ac:dyDescent="0.2">
      <c r="A1017" s="1424"/>
      <c r="B1017" s="1427"/>
      <c r="C1017" s="1430"/>
      <c r="D1017" s="1427"/>
      <c r="E1017" s="1427"/>
      <c r="F1017" s="1427"/>
      <c r="G1017" s="1427"/>
      <c r="H1017" s="1427"/>
      <c r="N1017" s="1727"/>
    </row>
    <row r="1018" spans="1:14" x14ac:dyDescent="0.2">
      <c r="A1018" s="1424"/>
      <c r="B1018" s="1427"/>
      <c r="C1018" s="1430"/>
      <c r="D1018" s="1427"/>
      <c r="E1018" s="1427"/>
      <c r="F1018" s="1427"/>
      <c r="G1018" s="1427"/>
      <c r="H1018" s="1427"/>
      <c r="N1018" s="1727"/>
    </row>
    <row r="1019" spans="1:14" x14ac:dyDescent="0.2">
      <c r="A1019" s="1424"/>
      <c r="B1019" s="1427"/>
      <c r="C1019" s="1430"/>
      <c r="D1019" s="1427"/>
      <c r="E1019" s="1427"/>
      <c r="F1019" s="1427"/>
      <c r="G1019" s="1427"/>
      <c r="H1019" s="1427"/>
      <c r="N1019" s="1727"/>
    </row>
    <row r="1020" spans="1:14" x14ac:dyDescent="0.2">
      <c r="A1020" s="1424"/>
      <c r="B1020" s="1427"/>
      <c r="C1020" s="1430"/>
      <c r="D1020" s="1427"/>
      <c r="E1020" s="1427"/>
      <c r="F1020" s="1427"/>
      <c r="G1020" s="1427"/>
      <c r="H1020" s="1427"/>
      <c r="N1020" s="1727"/>
    </row>
    <row r="1021" spans="1:14" x14ac:dyDescent="0.2">
      <c r="A1021" s="1424"/>
      <c r="B1021" s="1427"/>
      <c r="C1021" s="1430"/>
      <c r="D1021" s="1427"/>
      <c r="E1021" s="1427"/>
      <c r="F1021" s="1427"/>
      <c r="G1021" s="1427"/>
      <c r="H1021" s="1427"/>
      <c r="N1021" s="1727"/>
    </row>
    <row r="1022" spans="1:14" x14ac:dyDescent="0.2">
      <c r="A1022" s="1424"/>
      <c r="B1022" s="1427"/>
      <c r="C1022" s="1430"/>
      <c r="D1022" s="1427"/>
      <c r="E1022" s="1427"/>
      <c r="F1022" s="1427"/>
      <c r="G1022" s="1427"/>
      <c r="H1022" s="1427"/>
      <c r="N1022" s="1727"/>
    </row>
    <row r="1023" spans="1:14" x14ac:dyDescent="0.2">
      <c r="A1023" s="1424"/>
      <c r="B1023" s="1427"/>
      <c r="C1023" s="1430"/>
      <c r="D1023" s="1427"/>
      <c r="E1023" s="1427"/>
      <c r="F1023" s="1427"/>
      <c r="G1023" s="1427"/>
      <c r="H1023" s="1427"/>
      <c r="N1023" s="1727"/>
    </row>
    <row r="1024" spans="1:14" x14ac:dyDescent="0.2">
      <c r="A1024" s="1424"/>
      <c r="B1024" s="1427"/>
      <c r="C1024" s="1430"/>
      <c r="D1024" s="1427"/>
      <c r="E1024" s="1427"/>
      <c r="F1024" s="1427"/>
      <c r="G1024" s="1427"/>
      <c r="H1024" s="1427"/>
      <c r="N1024" s="1727"/>
    </row>
    <row r="1025" spans="1:14" x14ac:dyDescent="0.2">
      <c r="A1025" s="1424"/>
      <c r="B1025" s="1427"/>
      <c r="C1025" s="1430"/>
      <c r="D1025" s="1427"/>
      <c r="E1025" s="1427"/>
      <c r="F1025" s="1427"/>
      <c r="G1025" s="1427"/>
      <c r="H1025" s="1427"/>
      <c r="N1025" s="1727"/>
    </row>
    <row r="1026" spans="1:14" x14ac:dyDescent="0.2">
      <c r="A1026" s="1424"/>
      <c r="B1026" s="1427"/>
      <c r="C1026" s="1430"/>
      <c r="D1026" s="1427"/>
      <c r="E1026" s="1427"/>
      <c r="F1026" s="1427"/>
      <c r="G1026" s="1427"/>
      <c r="H1026" s="1427"/>
      <c r="N1026" s="1727"/>
    </row>
    <row r="1027" spans="1:14" x14ac:dyDescent="0.2">
      <c r="A1027" s="1424"/>
      <c r="B1027" s="1427"/>
      <c r="C1027" s="1430"/>
      <c r="D1027" s="1427"/>
      <c r="E1027" s="1427"/>
      <c r="F1027" s="1427"/>
      <c r="G1027" s="1427"/>
      <c r="H1027" s="1427"/>
      <c r="N1027" s="1727"/>
    </row>
    <row r="1028" spans="1:14" x14ac:dyDescent="0.2">
      <c r="A1028" s="1424"/>
      <c r="B1028" s="1427"/>
      <c r="C1028" s="1430"/>
      <c r="D1028" s="1427"/>
      <c r="E1028" s="1427"/>
      <c r="F1028" s="1427"/>
      <c r="G1028" s="1427"/>
      <c r="H1028" s="1427"/>
      <c r="N1028" s="1727"/>
    </row>
    <row r="1029" spans="1:14" x14ac:dyDescent="0.2">
      <c r="A1029" s="1424"/>
      <c r="B1029" s="1427"/>
      <c r="C1029" s="1430"/>
      <c r="D1029" s="1427"/>
      <c r="E1029" s="1427"/>
      <c r="F1029" s="1427"/>
      <c r="G1029" s="1427"/>
      <c r="H1029" s="1427"/>
      <c r="N1029" s="1727"/>
    </row>
    <row r="1030" spans="1:14" x14ac:dyDescent="0.2">
      <c r="A1030" s="1424"/>
      <c r="B1030" s="1427"/>
      <c r="C1030" s="1430"/>
      <c r="D1030" s="1427"/>
      <c r="E1030" s="1427"/>
      <c r="F1030" s="1427"/>
      <c r="G1030" s="1427"/>
      <c r="H1030" s="1427"/>
      <c r="N1030" s="1727"/>
    </row>
    <row r="1031" spans="1:14" x14ac:dyDescent="0.2">
      <c r="A1031" s="1424"/>
      <c r="B1031" s="1427"/>
      <c r="C1031" s="1430"/>
      <c r="D1031" s="1427"/>
      <c r="E1031" s="1427"/>
      <c r="F1031" s="1427"/>
      <c r="G1031" s="1427"/>
      <c r="H1031" s="1427"/>
      <c r="N1031" s="1727"/>
    </row>
    <row r="1032" spans="1:14" x14ac:dyDescent="0.2">
      <c r="A1032" s="1424"/>
      <c r="B1032" s="1427"/>
      <c r="C1032" s="1430"/>
      <c r="D1032" s="1427"/>
      <c r="E1032" s="1427"/>
      <c r="F1032" s="1427"/>
      <c r="G1032" s="1427"/>
      <c r="H1032" s="1427"/>
      <c r="N1032" s="1727"/>
    </row>
    <row r="1033" spans="1:14" x14ac:dyDescent="0.2">
      <c r="A1033" s="1424"/>
      <c r="B1033" s="1427"/>
      <c r="C1033" s="1430"/>
      <c r="D1033" s="1427"/>
      <c r="E1033" s="1427"/>
      <c r="F1033" s="1427"/>
      <c r="G1033" s="1427"/>
      <c r="H1033" s="1427"/>
      <c r="N1033" s="1727"/>
    </row>
    <row r="1034" spans="1:14" x14ac:dyDescent="0.2">
      <c r="A1034" s="1424"/>
      <c r="B1034" s="1427"/>
      <c r="C1034" s="1430"/>
      <c r="D1034" s="1427"/>
      <c r="E1034" s="1427"/>
      <c r="F1034" s="1427"/>
      <c r="G1034" s="1427"/>
      <c r="H1034" s="1427"/>
      <c r="N1034" s="1727"/>
    </row>
    <row r="1035" spans="1:14" x14ac:dyDescent="0.2">
      <c r="A1035" s="1424"/>
      <c r="B1035" s="1427"/>
      <c r="C1035" s="1430"/>
      <c r="D1035" s="1427"/>
      <c r="E1035" s="1427"/>
      <c r="F1035" s="1427"/>
      <c r="G1035" s="1427"/>
      <c r="H1035" s="1427"/>
      <c r="N1035" s="1727"/>
    </row>
    <row r="1036" spans="1:14" x14ac:dyDescent="0.2">
      <c r="A1036" s="1424"/>
      <c r="B1036" s="1427"/>
      <c r="C1036" s="1430"/>
      <c r="D1036" s="1427"/>
      <c r="E1036" s="1427"/>
      <c r="F1036" s="1427"/>
      <c r="G1036" s="1427"/>
      <c r="H1036" s="1427"/>
      <c r="N1036" s="1727"/>
    </row>
    <row r="1037" spans="1:14" x14ac:dyDescent="0.2">
      <c r="A1037" s="1424"/>
      <c r="B1037" s="1427"/>
      <c r="C1037" s="1430"/>
      <c r="D1037" s="1427"/>
      <c r="E1037" s="1427"/>
      <c r="F1037" s="1427"/>
      <c r="G1037" s="1427"/>
      <c r="H1037" s="1427"/>
      <c r="N1037" s="1727"/>
    </row>
    <row r="1038" spans="1:14" x14ac:dyDescent="0.2">
      <c r="A1038" s="1424"/>
      <c r="B1038" s="1427"/>
      <c r="C1038" s="1430"/>
      <c r="D1038" s="1427"/>
      <c r="E1038" s="1427"/>
      <c r="F1038" s="1427"/>
      <c r="G1038" s="1427"/>
      <c r="H1038" s="1427"/>
      <c r="N1038" s="1727"/>
    </row>
    <row r="1039" spans="1:14" x14ac:dyDescent="0.2">
      <c r="A1039" s="1424"/>
      <c r="B1039" s="1427"/>
      <c r="C1039" s="1430"/>
      <c r="D1039" s="1427"/>
      <c r="E1039" s="1427"/>
      <c r="F1039" s="1427"/>
      <c r="G1039" s="1427"/>
      <c r="H1039" s="1427"/>
      <c r="N1039" s="1727"/>
    </row>
    <row r="1040" spans="1:14" x14ac:dyDescent="0.2">
      <c r="A1040" s="1424"/>
      <c r="B1040" s="1427"/>
      <c r="C1040" s="1430"/>
      <c r="D1040" s="1427"/>
      <c r="E1040" s="1427"/>
      <c r="F1040" s="1427"/>
      <c r="G1040" s="1427"/>
      <c r="H1040" s="1427"/>
      <c r="N1040" s="1727"/>
    </row>
    <row r="1041" spans="1:14" x14ac:dyDescent="0.2">
      <c r="A1041" s="1424"/>
      <c r="B1041" s="1427"/>
      <c r="C1041" s="1430"/>
      <c r="D1041" s="1427"/>
      <c r="E1041" s="1427"/>
      <c r="F1041" s="1427"/>
      <c r="G1041" s="1427"/>
      <c r="H1041" s="1427"/>
      <c r="N1041" s="1727"/>
    </row>
    <row r="1042" spans="1:14" x14ac:dyDescent="0.2">
      <c r="A1042" s="1424"/>
      <c r="B1042" s="1427"/>
      <c r="C1042" s="1430"/>
      <c r="D1042" s="1427"/>
      <c r="E1042" s="1427"/>
      <c r="F1042" s="1427"/>
      <c r="G1042" s="1427"/>
      <c r="H1042" s="1427"/>
      <c r="N1042" s="1727"/>
    </row>
    <row r="1043" spans="1:14" x14ac:dyDescent="0.2">
      <c r="A1043" s="1424"/>
      <c r="B1043" s="1427"/>
      <c r="C1043" s="1430"/>
      <c r="D1043" s="1427"/>
      <c r="E1043" s="1427"/>
      <c r="F1043" s="1427"/>
      <c r="G1043" s="1427"/>
      <c r="H1043" s="1427"/>
      <c r="N1043" s="1727"/>
    </row>
    <row r="1044" spans="1:14" x14ac:dyDescent="0.2">
      <c r="A1044" s="1424"/>
      <c r="B1044" s="1427"/>
      <c r="C1044" s="1430"/>
      <c r="D1044" s="1427"/>
      <c r="E1044" s="1427"/>
      <c r="F1044" s="1427"/>
      <c r="G1044" s="1427"/>
      <c r="H1044" s="1427"/>
      <c r="N1044" s="1727"/>
    </row>
    <row r="1045" spans="1:14" x14ac:dyDescent="0.2">
      <c r="A1045" s="1424"/>
      <c r="B1045" s="1427"/>
      <c r="C1045" s="1430"/>
      <c r="D1045" s="1427"/>
      <c r="E1045" s="1427"/>
      <c r="F1045" s="1427"/>
      <c r="G1045" s="1427"/>
      <c r="H1045" s="1427"/>
      <c r="N1045" s="1727"/>
    </row>
    <row r="1046" spans="1:14" x14ac:dyDescent="0.2">
      <c r="A1046" s="1424"/>
      <c r="B1046" s="1427"/>
      <c r="C1046" s="1430"/>
      <c r="D1046" s="1427"/>
      <c r="E1046" s="1427"/>
      <c r="F1046" s="1427"/>
      <c r="G1046" s="1427"/>
      <c r="H1046" s="1427"/>
      <c r="N1046" s="1727"/>
    </row>
    <row r="1047" spans="1:14" x14ac:dyDescent="0.2">
      <c r="A1047" s="1424"/>
      <c r="B1047" s="1427"/>
      <c r="C1047" s="1430"/>
      <c r="D1047" s="1427"/>
      <c r="E1047" s="1427"/>
      <c r="F1047" s="1427"/>
      <c r="G1047" s="1427"/>
      <c r="H1047" s="1427"/>
      <c r="N1047" s="1727"/>
    </row>
    <row r="1048" spans="1:14" x14ac:dyDescent="0.2">
      <c r="A1048" s="1424"/>
      <c r="B1048" s="1427"/>
      <c r="C1048" s="1430"/>
      <c r="D1048" s="1427"/>
      <c r="E1048" s="1427"/>
      <c r="F1048" s="1427"/>
      <c r="G1048" s="1427"/>
      <c r="H1048" s="1427"/>
      <c r="N1048" s="1727"/>
    </row>
    <row r="1049" spans="1:14" x14ac:dyDescent="0.2">
      <c r="A1049" s="1424"/>
      <c r="B1049" s="1427"/>
      <c r="C1049" s="1430"/>
      <c r="D1049" s="1427"/>
      <c r="E1049" s="1427"/>
      <c r="F1049" s="1427"/>
      <c r="G1049" s="1427"/>
      <c r="H1049" s="1427"/>
      <c r="N1049" s="1727"/>
    </row>
    <row r="1050" spans="1:14" x14ac:dyDescent="0.2">
      <c r="A1050" s="1424"/>
      <c r="B1050" s="1427"/>
      <c r="C1050" s="1430"/>
      <c r="D1050" s="1427"/>
      <c r="E1050" s="1427"/>
      <c r="F1050" s="1427"/>
      <c r="G1050" s="1427"/>
      <c r="H1050" s="1427"/>
      <c r="N1050" s="1727"/>
    </row>
    <row r="1051" spans="1:14" x14ac:dyDescent="0.2">
      <c r="A1051" s="1424"/>
      <c r="B1051" s="1427"/>
      <c r="C1051" s="1430"/>
      <c r="D1051" s="1427"/>
      <c r="E1051" s="1427"/>
      <c r="F1051" s="1427"/>
      <c r="G1051" s="1427"/>
      <c r="H1051" s="1427"/>
      <c r="N1051" s="1727"/>
    </row>
    <row r="1052" spans="1:14" x14ac:dyDescent="0.2">
      <c r="A1052" s="1424"/>
      <c r="B1052" s="1427"/>
      <c r="C1052" s="1430"/>
      <c r="D1052" s="1427"/>
      <c r="E1052" s="1427"/>
      <c r="F1052" s="1427"/>
      <c r="G1052" s="1427"/>
      <c r="H1052" s="1427"/>
      <c r="N1052" s="1727"/>
    </row>
    <row r="1053" spans="1:14" x14ac:dyDescent="0.2">
      <c r="A1053" s="1424"/>
      <c r="B1053" s="1427"/>
      <c r="C1053" s="1430"/>
      <c r="D1053" s="1427"/>
      <c r="E1053" s="1427"/>
      <c r="F1053" s="1427"/>
      <c r="G1053" s="1427"/>
      <c r="H1053" s="1427"/>
      <c r="N1053" s="1727"/>
    </row>
    <row r="1054" spans="1:14" x14ac:dyDescent="0.2">
      <c r="A1054" s="1424"/>
      <c r="B1054" s="1427"/>
      <c r="C1054" s="1430"/>
      <c r="D1054" s="1427"/>
      <c r="E1054" s="1427"/>
      <c r="F1054" s="1427"/>
      <c r="G1054" s="1427"/>
      <c r="H1054" s="1427"/>
      <c r="N1054" s="1727"/>
    </row>
    <row r="1055" spans="1:14" x14ac:dyDescent="0.2">
      <c r="A1055" s="1424"/>
      <c r="B1055" s="1427"/>
      <c r="C1055" s="1430"/>
      <c r="D1055" s="1427"/>
      <c r="E1055" s="1427"/>
      <c r="F1055" s="1427"/>
      <c r="G1055" s="1427"/>
      <c r="H1055" s="1427"/>
      <c r="N1055" s="1727"/>
    </row>
    <row r="1056" spans="1:14" x14ac:dyDescent="0.2">
      <c r="A1056" s="1424"/>
      <c r="B1056" s="1427"/>
      <c r="C1056" s="1430"/>
      <c r="D1056" s="1427"/>
      <c r="E1056" s="1427"/>
      <c r="F1056" s="1427"/>
      <c r="G1056" s="1427"/>
      <c r="H1056" s="1427"/>
      <c r="N1056" s="1727"/>
    </row>
    <row r="1057" spans="1:14" x14ac:dyDescent="0.2">
      <c r="A1057" s="1424"/>
      <c r="B1057" s="1427"/>
      <c r="C1057" s="1430"/>
      <c r="D1057" s="1427"/>
      <c r="E1057" s="1427"/>
      <c r="F1057" s="1427"/>
      <c r="G1057" s="1427"/>
      <c r="H1057" s="1427"/>
      <c r="N1057" s="1727"/>
    </row>
    <row r="1058" spans="1:14" x14ac:dyDescent="0.2">
      <c r="A1058" s="1424"/>
      <c r="B1058" s="1427"/>
      <c r="C1058" s="1430"/>
      <c r="D1058" s="1427"/>
      <c r="E1058" s="1427"/>
      <c r="F1058" s="1427"/>
      <c r="G1058" s="1427"/>
      <c r="H1058" s="1427"/>
      <c r="N1058" s="1727"/>
    </row>
    <row r="1059" spans="1:14" x14ac:dyDescent="0.2">
      <c r="A1059" s="1424"/>
      <c r="B1059" s="1427"/>
      <c r="C1059" s="1430"/>
      <c r="D1059" s="1427"/>
      <c r="E1059" s="1427"/>
      <c r="F1059" s="1427"/>
      <c r="G1059" s="1427"/>
      <c r="H1059" s="1427"/>
      <c r="N1059" s="1727"/>
    </row>
    <row r="1060" spans="1:14" x14ac:dyDescent="0.2">
      <c r="A1060" s="1424"/>
      <c r="B1060" s="1427"/>
      <c r="C1060" s="1430"/>
      <c r="D1060" s="1427"/>
      <c r="E1060" s="1427"/>
      <c r="F1060" s="1427"/>
      <c r="G1060" s="1427"/>
      <c r="H1060" s="1427"/>
      <c r="N1060" s="1727"/>
    </row>
    <row r="1061" spans="1:14" x14ac:dyDescent="0.2">
      <c r="A1061" s="1424"/>
      <c r="B1061" s="1427"/>
      <c r="C1061" s="1430"/>
      <c r="D1061" s="1427"/>
      <c r="E1061" s="1427"/>
      <c r="F1061" s="1427"/>
      <c r="G1061" s="1427"/>
      <c r="H1061" s="1427"/>
      <c r="N1061" s="1727"/>
    </row>
    <row r="1062" spans="1:14" x14ac:dyDescent="0.2">
      <c r="A1062" s="1424"/>
      <c r="B1062" s="1427"/>
      <c r="C1062" s="1430"/>
      <c r="D1062" s="1427"/>
      <c r="E1062" s="1427"/>
      <c r="F1062" s="1427"/>
      <c r="G1062" s="1427"/>
      <c r="H1062" s="1427"/>
      <c r="N1062" s="1727"/>
    </row>
    <row r="1063" spans="1:14" x14ac:dyDescent="0.2">
      <c r="A1063" s="1424"/>
      <c r="B1063" s="1427"/>
      <c r="C1063" s="1430"/>
      <c r="D1063" s="1427"/>
      <c r="E1063" s="1427"/>
      <c r="F1063" s="1427"/>
      <c r="G1063" s="1427"/>
      <c r="H1063" s="1427"/>
      <c r="N1063" s="1727"/>
    </row>
    <row r="1064" spans="1:14" x14ac:dyDescent="0.2">
      <c r="A1064" s="1424"/>
      <c r="B1064" s="1427"/>
      <c r="C1064" s="1430"/>
      <c r="D1064" s="1427"/>
      <c r="E1064" s="1427"/>
      <c r="F1064" s="1427"/>
      <c r="G1064" s="1427"/>
      <c r="H1064" s="1427"/>
      <c r="N1064" s="1727"/>
    </row>
    <row r="1065" spans="1:14" x14ac:dyDescent="0.2">
      <c r="A1065" s="1424"/>
      <c r="B1065" s="1427"/>
      <c r="C1065" s="1430"/>
      <c r="D1065" s="1427"/>
      <c r="E1065" s="1427"/>
      <c r="F1065" s="1427"/>
      <c r="G1065" s="1427"/>
      <c r="H1065" s="1427"/>
      <c r="N1065" s="1727"/>
    </row>
    <row r="1066" spans="1:14" x14ac:dyDescent="0.2">
      <c r="A1066" s="1424"/>
      <c r="B1066" s="1427"/>
      <c r="C1066" s="1430"/>
      <c r="D1066" s="1427"/>
      <c r="E1066" s="1427"/>
      <c r="F1066" s="1427"/>
      <c r="G1066" s="1427"/>
      <c r="H1066" s="1427"/>
      <c r="N1066" s="1727"/>
    </row>
    <row r="1067" spans="1:14" x14ac:dyDescent="0.2">
      <c r="A1067" s="1424"/>
      <c r="B1067" s="1427"/>
      <c r="C1067" s="1430"/>
      <c r="D1067" s="1427"/>
      <c r="E1067" s="1427"/>
      <c r="F1067" s="1427"/>
      <c r="G1067" s="1427"/>
      <c r="H1067" s="1427"/>
      <c r="N1067" s="1727"/>
    </row>
    <row r="1068" spans="1:14" x14ac:dyDescent="0.2">
      <c r="A1068" s="1424"/>
      <c r="B1068" s="1427"/>
      <c r="C1068" s="1430"/>
      <c r="D1068" s="1427"/>
      <c r="E1068" s="1427"/>
      <c r="F1068" s="1427"/>
      <c r="G1068" s="1427"/>
      <c r="H1068" s="1427"/>
      <c r="N1068" s="1727"/>
    </row>
    <row r="1069" spans="1:14" x14ac:dyDescent="0.2">
      <c r="A1069" s="1424"/>
      <c r="B1069" s="1427"/>
      <c r="C1069" s="1430"/>
      <c r="D1069" s="1427"/>
      <c r="E1069" s="1427"/>
      <c r="F1069" s="1427"/>
      <c r="G1069" s="1427"/>
      <c r="H1069" s="1427"/>
      <c r="N1069" s="1727"/>
    </row>
    <row r="1070" spans="1:14" x14ac:dyDescent="0.2">
      <c r="A1070" s="1424"/>
      <c r="B1070" s="1427"/>
      <c r="C1070" s="1430"/>
      <c r="D1070" s="1427"/>
      <c r="E1070" s="1427"/>
      <c r="F1070" s="1427"/>
      <c r="G1070" s="1427"/>
      <c r="H1070" s="1427"/>
      <c r="N1070" s="1727"/>
    </row>
    <row r="1071" spans="1:14" x14ac:dyDescent="0.2">
      <c r="A1071" s="1424"/>
      <c r="B1071" s="1427"/>
      <c r="C1071" s="1430"/>
      <c r="D1071" s="1427"/>
      <c r="E1071" s="1427"/>
      <c r="F1071" s="1427"/>
      <c r="G1071" s="1427"/>
      <c r="H1071" s="1427"/>
      <c r="N1071" s="1727"/>
    </row>
    <row r="1072" spans="1:14" x14ac:dyDescent="0.2">
      <c r="A1072" s="1424"/>
      <c r="B1072" s="1427"/>
      <c r="C1072" s="1430"/>
      <c r="D1072" s="1427"/>
      <c r="E1072" s="1427"/>
      <c r="F1072" s="1427"/>
      <c r="G1072" s="1427"/>
      <c r="H1072" s="1427"/>
      <c r="N1072" s="1727"/>
    </row>
    <row r="1073" spans="1:14" x14ac:dyDescent="0.2">
      <c r="A1073" s="1424"/>
      <c r="B1073" s="1427"/>
      <c r="C1073" s="1430"/>
      <c r="D1073" s="1427"/>
      <c r="E1073" s="1427"/>
      <c r="F1073" s="1427"/>
      <c r="G1073" s="1427"/>
      <c r="H1073" s="1427"/>
      <c r="N1073" s="1727"/>
    </row>
    <row r="1074" spans="1:14" x14ac:dyDescent="0.2">
      <c r="A1074" s="1424"/>
      <c r="B1074" s="1427"/>
      <c r="C1074" s="1430"/>
      <c r="D1074" s="1427"/>
      <c r="E1074" s="1427"/>
      <c r="F1074" s="1427"/>
      <c r="G1074" s="1427"/>
      <c r="H1074" s="1427"/>
      <c r="N1074" s="1727"/>
    </row>
    <row r="1075" spans="1:14" x14ac:dyDescent="0.2">
      <c r="A1075" s="1424"/>
      <c r="B1075" s="1427"/>
      <c r="C1075" s="1430"/>
      <c r="D1075" s="1427"/>
      <c r="E1075" s="1427"/>
      <c r="F1075" s="1427"/>
      <c r="G1075" s="1427"/>
      <c r="H1075" s="1427"/>
      <c r="N1075" s="1727"/>
    </row>
    <row r="1076" spans="1:14" x14ac:dyDescent="0.2">
      <c r="A1076" s="1424"/>
      <c r="B1076" s="1427"/>
      <c r="C1076" s="1430"/>
      <c r="D1076" s="1427"/>
      <c r="E1076" s="1427"/>
      <c r="F1076" s="1427"/>
      <c r="G1076" s="1427"/>
      <c r="H1076" s="1427"/>
      <c r="N1076" s="1727"/>
    </row>
    <row r="1077" spans="1:14" x14ac:dyDescent="0.2">
      <c r="A1077" s="1424"/>
      <c r="B1077" s="1427"/>
      <c r="C1077" s="1430"/>
      <c r="D1077" s="1427"/>
      <c r="E1077" s="1427"/>
      <c r="F1077" s="1427"/>
      <c r="G1077" s="1427"/>
      <c r="H1077" s="1427"/>
      <c r="N1077" s="1727"/>
    </row>
    <row r="1078" spans="1:14" x14ac:dyDescent="0.2">
      <c r="A1078" s="1424"/>
      <c r="B1078" s="1427"/>
      <c r="C1078" s="1430"/>
      <c r="D1078" s="1427"/>
      <c r="E1078" s="1427"/>
      <c r="F1078" s="1427"/>
      <c r="G1078" s="1427"/>
      <c r="H1078" s="1427"/>
      <c r="N1078" s="1727"/>
    </row>
    <row r="1079" spans="1:14" x14ac:dyDescent="0.2">
      <c r="A1079" s="1424"/>
      <c r="B1079" s="1427"/>
      <c r="C1079" s="1430"/>
      <c r="D1079" s="1427"/>
      <c r="E1079" s="1427"/>
      <c r="F1079" s="1427"/>
      <c r="G1079" s="1427"/>
      <c r="H1079" s="1427"/>
      <c r="N1079" s="1727"/>
    </row>
    <row r="1080" spans="1:14" x14ac:dyDescent="0.2">
      <c r="A1080" s="1424"/>
      <c r="B1080" s="1427"/>
      <c r="C1080" s="1430"/>
      <c r="D1080" s="1427"/>
      <c r="E1080" s="1427"/>
      <c r="F1080" s="1427"/>
      <c r="G1080" s="1427"/>
      <c r="H1080" s="1427"/>
      <c r="N1080" s="1727"/>
    </row>
    <row r="1081" spans="1:14" x14ac:dyDescent="0.2">
      <c r="A1081" s="1424"/>
      <c r="B1081" s="1427"/>
      <c r="C1081" s="1430"/>
      <c r="D1081" s="1427"/>
      <c r="E1081" s="1427"/>
      <c r="F1081" s="1427"/>
      <c r="G1081" s="1427"/>
      <c r="H1081" s="1427"/>
      <c r="N1081" s="1727"/>
    </row>
    <row r="1082" spans="1:14" x14ac:dyDescent="0.2">
      <c r="A1082" s="1424"/>
      <c r="B1082" s="1427"/>
      <c r="C1082" s="1430"/>
      <c r="D1082" s="1427"/>
      <c r="E1082" s="1427"/>
      <c r="F1082" s="1427"/>
      <c r="G1082" s="1427"/>
      <c r="H1082" s="1427"/>
      <c r="N1082" s="1727"/>
    </row>
    <row r="1083" spans="1:14" x14ac:dyDescent="0.2">
      <c r="A1083" s="1424"/>
      <c r="B1083" s="1427"/>
      <c r="C1083" s="1430"/>
      <c r="D1083" s="1427"/>
      <c r="E1083" s="1427"/>
      <c r="F1083" s="1427"/>
      <c r="G1083" s="1427"/>
      <c r="H1083" s="1427"/>
      <c r="N1083" s="1727"/>
    </row>
    <row r="1084" spans="1:14" x14ac:dyDescent="0.2">
      <c r="A1084" s="1424"/>
      <c r="B1084" s="1427"/>
      <c r="C1084" s="1430"/>
      <c r="D1084" s="1427"/>
      <c r="E1084" s="1427"/>
      <c r="F1084" s="1427"/>
      <c r="G1084" s="1427"/>
      <c r="H1084" s="1427"/>
      <c r="N1084" s="1727"/>
    </row>
    <row r="1085" spans="1:14" x14ac:dyDescent="0.2">
      <c r="A1085" s="1424"/>
      <c r="B1085" s="1427"/>
      <c r="C1085" s="1430"/>
      <c r="D1085" s="1427"/>
      <c r="E1085" s="1427"/>
      <c r="F1085" s="1427"/>
      <c r="G1085" s="1427"/>
      <c r="H1085" s="1427"/>
      <c r="N1085" s="1727"/>
    </row>
    <row r="1086" spans="1:14" x14ac:dyDescent="0.2">
      <c r="A1086" s="1424"/>
      <c r="B1086" s="1427"/>
      <c r="C1086" s="1430"/>
      <c r="D1086" s="1427"/>
      <c r="E1086" s="1427"/>
      <c r="F1086" s="1427"/>
      <c r="G1086" s="1427"/>
      <c r="H1086" s="1427"/>
      <c r="N1086" s="1727"/>
    </row>
    <row r="1087" spans="1:14" x14ac:dyDescent="0.2">
      <c r="A1087" s="1424"/>
      <c r="B1087" s="1427"/>
      <c r="C1087" s="1430"/>
      <c r="D1087" s="1427"/>
      <c r="E1087" s="1427"/>
      <c r="F1087" s="1427"/>
      <c r="G1087" s="1427"/>
      <c r="H1087" s="1427"/>
      <c r="N1087" s="1727"/>
    </row>
    <row r="1088" spans="1:14" x14ac:dyDescent="0.2">
      <c r="A1088" s="1424"/>
      <c r="B1088" s="1427"/>
      <c r="C1088" s="1430"/>
      <c r="D1088" s="1427"/>
      <c r="E1088" s="1427"/>
      <c r="F1088" s="1427"/>
      <c r="G1088" s="1427"/>
      <c r="H1088" s="1427"/>
      <c r="N1088" s="1727"/>
    </row>
    <row r="1089" spans="1:14" x14ac:dyDescent="0.2">
      <c r="A1089" s="1424"/>
      <c r="B1089" s="1427"/>
      <c r="C1089" s="1430"/>
      <c r="D1089" s="1427"/>
      <c r="E1089" s="1427"/>
      <c r="F1089" s="1427"/>
      <c r="G1089" s="1427"/>
      <c r="H1089" s="1427"/>
      <c r="N1089" s="1727"/>
    </row>
    <row r="1090" spans="1:14" x14ac:dyDescent="0.2">
      <c r="A1090" s="1424"/>
      <c r="B1090" s="1427"/>
      <c r="C1090" s="1430"/>
      <c r="D1090" s="1427"/>
      <c r="E1090" s="1427"/>
      <c r="F1090" s="1427"/>
      <c r="G1090" s="1427"/>
      <c r="H1090" s="1427"/>
      <c r="N1090" s="1727"/>
    </row>
    <row r="1091" spans="1:14" x14ac:dyDescent="0.2">
      <c r="A1091" s="1424"/>
      <c r="B1091" s="1427"/>
      <c r="C1091" s="1430"/>
      <c r="D1091" s="1427"/>
      <c r="E1091" s="1427"/>
      <c r="F1091" s="1427"/>
      <c r="G1091" s="1427"/>
      <c r="H1091" s="1427"/>
      <c r="N1091" s="1727"/>
    </row>
    <row r="1092" spans="1:14" x14ac:dyDescent="0.2">
      <c r="A1092" s="1424"/>
      <c r="B1092" s="1427"/>
      <c r="C1092" s="1430"/>
      <c r="D1092" s="1427"/>
      <c r="E1092" s="1427"/>
      <c r="F1092" s="1427"/>
      <c r="G1092" s="1427"/>
      <c r="H1092" s="1427"/>
      <c r="N1092" s="1727"/>
    </row>
    <row r="1093" spans="1:14" x14ac:dyDescent="0.2">
      <c r="A1093" s="1424"/>
      <c r="B1093" s="1427"/>
      <c r="C1093" s="1430"/>
      <c r="D1093" s="1427"/>
      <c r="E1093" s="1427"/>
      <c r="F1093" s="1427"/>
      <c r="G1093" s="1427"/>
      <c r="H1093" s="1427"/>
      <c r="N1093" s="1727"/>
    </row>
    <row r="1094" spans="1:14" x14ac:dyDescent="0.2">
      <c r="A1094" s="1424"/>
      <c r="B1094" s="1427"/>
      <c r="C1094" s="1430"/>
      <c r="D1094" s="1427"/>
      <c r="E1094" s="1427"/>
      <c r="F1094" s="1427"/>
      <c r="G1094" s="1427"/>
      <c r="H1094" s="1427"/>
      <c r="N1094" s="1727"/>
    </row>
    <row r="1095" spans="1:14" x14ac:dyDescent="0.2">
      <c r="A1095" s="1424"/>
      <c r="B1095" s="1427"/>
      <c r="C1095" s="1430"/>
      <c r="D1095" s="1427"/>
      <c r="E1095" s="1427"/>
      <c r="F1095" s="1427"/>
      <c r="G1095" s="1427"/>
      <c r="H1095" s="1427"/>
      <c r="N1095" s="1727"/>
    </row>
    <row r="1096" spans="1:14" x14ac:dyDescent="0.2">
      <c r="A1096" s="1424"/>
      <c r="B1096" s="1427"/>
      <c r="C1096" s="1430"/>
      <c r="D1096" s="1427"/>
      <c r="E1096" s="1427"/>
      <c r="F1096" s="1427"/>
      <c r="G1096" s="1427"/>
      <c r="H1096" s="1427"/>
      <c r="N1096" s="1727"/>
    </row>
    <row r="1097" spans="1:14" x14ac:dyDescent="0.2">
      <c r="A1097" s="1424"/>
      <c r="B1097" s="1427"/>
      <c r="C1097" s="1430"/>
      <c r="D1097" s="1427"/>
      <c r="E1097" s="1427"/>
      <c r="F1097" s="1427"/>
      <c r="G1097" s="1427"/>
      <c r="H1097" s="1427"/>
      <c r="N1097" s="1727"/>
    </row>
    <row r="1098" spans="1:14" x14ac:dyDescent="0.2">
      <c r="A1098" s="1424"/>
      <c r="B1098" s="1427"/>
      <c r="C1098" s="1430"/>
      <c r="D1098" s="1427"/>
      <c r="E1098" s="1427"/>
      <c r="F1098" s="1427"/>
      <c r="G1098" s="1427"/>
      <c r="H1098" s="1427"/>
      <c r="N1098" s="1727"/>
    </row>
    <row r="1099" spans="1:14" x14ac:dyDescent="0.2">
      <c r="A1099" s="1424"/>
      <c r="B1099" s="1427"/>
      <c r="C1099" s="1430"/>
      <c r="D1099" s="1427"/>
      <c r="E1099" s="1427"/>
      <c r="F1099" s="1427"/>
      <c r="G1099" s="1427"/>
      <c r="H1099" s="1427"/>
      <c r="N1099" s="1727"/>
    </row>
    <row r="1100" spans="1:14" x14ac:dyDescent="0.2">
      <c r="A1100" s="1424"/>
      <c r="B1100" s="1427"/>
      <c r="C1100" s="1430"/>
      <c r="D1100" s="1427"/>
      <c r="E1100" s="1427"/>
      <c r="F1100" s="1427"/>
      <c r="G1100" s="1427"/>
      <c r="H1100" s="1427"/>
      <c r="N1100" s="1727"/>
    </row>
    <row r="1101" spans="1:14" x14ac:dyDescent="0.2">
      <c r="A1101" s="1424"/>
      <c r="B1101" s="1427"/>
      <c r="C1101" s="1430"/>
      <c r="D1101" s="1427"/>
      <c r="E1101" s="1427"/>
      <c r="F1101" s="1427"/>
      <c r="G1101" s="1427"/>
      <c r="H1101" s="1427"/>
      <c r="N1101" s="1727"/>
    </row>
    <row r="1102" spans="1:14" x14ac:dyDescent="0.2">
      <c r="A1102" s="1424"/>
      <c r="B1102" s="1427"/>
      <c r="C1102" s="1430"/>
      <c r="D1102" s="1427"/>
      <c r="E1102" s="1427"/>
      <c r="F1102" s="1427"/>
      <c r="G1102" s="1427"/>
      <c r="H1102" s="1427"/>
      <c r="N1102" s="1727"/>
    </row>
    <row r="1103" spans="1:14" x14ac:dyDescent="0.2">
      <c r="A1103" s="1424"/>
      <c r="B1103" s="1427"/>
      <c r="C1103" s="1430"/>
      <c r="D1103" s="1427"/>
      <c r="E1103" s="1427"/>
      <c r="F1103" s="1427"/>
      <c r="G1103" s="1427"/>
      <c r="H1103" s="1427"/>
      <c r="N1103" s="1727"/>
    </row>
    <row r="1104" spans="1:14" x14ac:dyDescent="0.2">
      <c r="A1104" s="1424"/>
      <c r="B1104" s="1427"/>
      <c r="C1104" s="1430"/>
      <c r="D1104" s="1427"/>
      <c r="E1104" s="1427"/>
      <c r="F1104" s="1427"/>
      <c r="G1104" s="1427"/>
      <c r="H1104" s="1427"/>
      <c r="N1104" s="1727"/>
    </row>
    <row r="1105" spans="1:14" x14ac:dyDescent="0.2">
      <c r="A1105" s="1424"/>
      <c r="B1105" s="1427"/>
      <c r="C1105" s="1430"/>
      <c r="D1105" s="1427"/>
      <c r="E1105" s="1427"/>
      <c r="F1105" s="1427"/>
      <c r="G1105" s="1427"/>
      <c r="H1105" s="1427"/>
      <c r="N1105" s="1727"/>
    </row>
    <row r="1106" spans="1:14" x14ac:dyDescent="0.2">
      <c r="A1106" s="1424"/>
      <c r="B1106" s="1427"/>
      <c r="C1106" s="1430"/>
      <c r="D1106" s="1427"/>
      <c r="E1106" s="1427"/>
      <c r="F1106" s="1427"/>
      <c r="G1106" s="1427"/>
      <c r="H1106" s="1427"/>
      <c r="N1106" s="1727"/>
    </row>
    <row r="1107" spans="1:14" x14ac:dyDescent="0.2">
      <c r="A1107" s="1424"/>
      <c r="B1107" s="1427"/>
      <c r="C1107" s="1430"/>
      <c r="D1107" s="1427"/>
      <c r="E1107" s="1427"/>
      <c r="F1107" s="1427"/>
      <c r="G1107" s="1427"/>
      <c r="H1107" s="1427"/>
      <c r="N1107" s="1727"/>
    </row>
    <row r="1108" spans="1:14" x14ac:dyDescent="0.2">
      <c r="A1108" s="1424"/>
      <c r="B1108" s="1427"/>
      <c r="C1108" s="1430"/>
      <c r="D1108" s="1427"/>
      <c r="E1108" s="1427"/>
      <c r="F1108" s="1427"/>
      <c r="G1108" s="1427"/>
      <c r="H1108" s="1427"/>
      <c r="N1108" s="1727"/>
    </row>
    <row r="1109" spans="1:14" x14ac:dyDescent="0.2">
      <c r="A1109" s="1424"/>
      <c r="B1109" s="1427"/>
      <c r="C1109" s="1430"/>
      <c r="D1109" s="1427"/>
      <c r="E1109" s="1427"/>
      <c r="F1109" s="1427"/>
      <c r="G1109" s="1427"/>
      <c r="H1109" s="1427"/>
      <c r="N1109" s="1727"/>
    </row>
    <row r="1110" spans="1:14" x14ac:dyDescent="0.2">
      <c r="A1110" s="1424"/>
      <c r="B1110" s="1427"/>
      <c r="C1110" s="1430"/>
      <c r="D1110" s="1427"/>
      <c r="E1110" s="1427"/>
      <c r="F1110" s="1427"/>
      <c r="G1110" s="1427"/>
      <c r="H1110" s="1427"/>
      <c r="N1110" s="1727"/>
    </row>
    <row r="1111" spans="1:14" x14ac:dyDescent="0.2">
      <c r="A1111" s="1424"/>
      <c r="B1111" s="1427"/>
      <c r="C1111" s="1430"/>
      <c r="D1111" s="1427"/>
      <c r="E1111" s="1427"/>
      <c r="F1111" s="1427"/>
      <c r="G1111" s="1427"/>
      <c r="H1111" s="1427"/>
      <c r="N1111" s="1727"/>
    </row>
    <row r="1112" spans="1:14" x14ac:dyDescent="0.2">
      <c r="A1112" s="1424"/>
      <c r="B1112" s="1427"/>
      <c r="C1112" s="1430"/>
      <c r="D1112" s="1427"/>
      <c r="E1112" s="1427"/>
      <c r="F1112" s="1427"/>
      <c r="G1112" s="1427"/>
      <c r="H1112" s="1427"/>
      <c r="N1112" s="1727"/>
    </row>
    <row r="1113" spans="1:14" x14ac:dyDescent="0.2">
      <c r="A1113" s="1424"/>
      <c r="B1113" s="1427"/>
      <c r="C1113" s="1430"/>
      <c r="D1113" s="1427"/>
      <c r="E1113" s="1427"/>
      <c r="F1113" s="1427"/>
      <c r="G1113" s="1427"/>
      <c r="H1113" s="1427"/>
      <c r="N1113" s="1727"/>
    </row>
    <row r="1114" spans="1:14" x14ac:dyDescent="0.2">
      <c r="A1114" s="1424"/>
      <c r="B1114" s="1427"/>
      <c r="C1114" s="1430"/>
      <c r="D1114" s="1427"/>
      <c r="E1114" s="1427"/>
      <c r="F1114" s="1427"/>
      <c r="G1114" s="1427"/>
      <c r="H1114" s="1427"/>
      <c r="N1114" s="1727"/>
    </row>
    <row r="1115" spans="1:14" x14ac:dyDescent="0.2">
      <c r="A1115" s="1424"/>
      <c r="B1115" s="1427"/>
      <c r="C1115" s="1430"/>
      <c r="D1115" s="1427"/>
      <c r="E1115" s="1427"/>
      <c r="F1115" s="1427"/>
      <c r="G1115" s="1427"/>
      <c r="H1115" s="1427"/>
      <c r="N1115" s="1727"/>
    </row>
    <row r="1116" spans="1:14" x14ac:dyDescent="0.2">
      <c r="A1116" s="1424"/>
      <c r="B1116" s="1427"/>
      <c r="C1116" s="1430"/>
      <c r="D1116" s="1427"/>
      <c r="E1116" s="1427"/>
      <c r="F1116" s="1427"/>
      <c r="G1116" s="1427"/>
      <c r="H1116" s="1427"/>
      <c r="N1116" s="1727"/>
    </row>
    <row r="1117" spans="1:14" x14ac:dyDescent="0.2">
      <c r="A1117" s="1424"/>
      <c r="B1117" s="1427"/>
      <c r="C1117" s="1430"/>
      <c r="D1117" s="1427"/>
      <c r="E1117" s="1427"/>
      <c r="F1117" s="1427"/>
      <c r="G1117" s="1427"/>
      <c r="H1117" s="1427"/>
      <c r="N1117" s="1727"/>
    </row>
    <row r="1118" spans="1:14" x14ac:dyDescent="0.2">
      <c r="A1118" s="1424"/>
      <c r="B1118" s="1427"/>
      <c r="C1118" s="1430"/>
      <c r="D1118" s="1427"/>
      <c r="E1118" s="1427"/>
      <c r="F1118" s="1427"/>
      <c r="G1118" s="1427"/>
      <c r="H1118" s="1427"/>
      <c r="N1118" s="1727"/>
    </row>
    <row r="1119" spans="1:14" x14ac:dyDescent="0.2">
      <c r="A1119" s="1424"/>
      <c r="B1119" s="1427"/>
      <c r="C1119" s="1430"/>
      <c r="D1119" s="1427"/>
      <c r="E1119" s="1427"/>
      <c r="F1119" s="1427"/>
      <c r="G1119" s="1427"/>
      <c r="H1119" s="1427"/>
      <c r="N1119" s="1727"/>
    </row>
    <row r="1120" spans="1:14" x14ac:dyDescent="0.2">
      <c r="A1120" s="1424"/>
      <c r="B1120" s="1427"/>
      <c r="C1120" s="1430"/>
      <c r="D1120" s="1427"/>
      <c r="E1120" s="1427"/>
      <c r="F1120" s="1427"/>
      <c r="G1120" s="1427"/>
      <c r="H1120" s="1427"/>
      <c r="N1120" s="1727"/>
    </row>
    <row r="1121" spans="1:14" x14ac:dyDescent="0.2">
      <c r="A1121" s="1424"/>
      <c r="B1121" s="1427"/>
      <c r="C1121" s="1430"/>
      <c r="D1121" s="1427"/>
      <c r="E1121" s="1427"/>
      <c r="F1121" s="1427"/>
      <c r="G1121" s="1427"/>
      <c r="H1121" s="1427"/>
      <c r="N1121" s="1727"/>
    </row>
    <row r="1122" spans="1:14" x14ac:dyDescent="0.2">
      <c r="A1122" s="1424"/>
      <c r="B1122" s="1427"/>
      <c r="C1122" s="1430"/>
      <c r="D1122" s="1427"/>
      <c r="E1122" s="1427"/>
      <c r="F1122" s="1427"/>
      <c r="G1122" s="1427"/>
      <c r="H1122" s="1427"/>
      <c r="N1122" s="1727"/>
    </row>
    <row r="1123" spans="1:14" x14ac:dyDescent="0.2">
      <c r="A1123" s="1424"/>
      <c r="B1123" s="1427"/>
      <c r="C1123" s="1430"/>
      <c r="D1123" s="1427"/>
      <c r="E1123" s="1427"/>
      <c r="F1123" s="1427"/>
      <c r="G1123" s="1427"/>
      <c r="H1123" s="1427"/>
      <c r="N1123" s="1727"/>
    </row>
    <row r="1124" spans="1:14" x14ac:dyDescent="0.2">
      <c r="A1124" s="1424"/>
      <c r="B1124" s="1427"/>
      <c r="C1124" s="1430"/>
      <c r="D1124" s="1427"/>
      <c r="E1124" s="1427"/>
      <c r="F1124" s="1427"/>
      <c r="G1124" s="1427"/>
      <c r="H1124" s="1427"/>
      <c r="N1124" s="1727"/>
    </row>
    <row r="1125" spans="1:14" x14ac:dyDescent="0.2">
      <c r="A1125" s="1424"/>
      <c r="B1125" s="1427"/>
      <c r="C1125" s="1430"/>
      <c r="D1125" s="1427"/>
      <c r="E1125" s="1427"/>
      <c r="F1125" s="1427"/>
      <c r="G1125" s="1427"/>
      <c r="H1125" s="1427"/>
      <c r="N1125" s="1727"/>
    </row>
    <row r="1126" spans="1:14" x14ac:dyDescent="0.2">
      <c r="A1126" s="1424"/>
      <c r="B1126" s="1427"/>
      <c r="C1126" s="1430"/>
      <c r="D1126" s="1427"/>
      <c r="E1126" s="1427"/>
      <c r="F1126" s="1427"/>
      <c r="G1126" s="1427"/>
      <c r="H1126" s="1427"/>
      <c r="N1126" s="1727"/>
    </row>
    <row r="1127" spans="1:14" x14ac:dyDescent="0.2">
      <c r="A1127" s="1424"/>
      <c r="B1127" s="1427"/>
      <c r="C1127" s="1430"/>
      <c r="D1127" s="1427"/>
      <c r="E1127" s="1427"/>
      <c r="F1127" s="1427"/>
      <c r="G1127" s="1427"/>
      <c r="H1127" s="1427"/>
      <c r="N1127" s="1727"/>
    </row>
    <row r="1128" spans="1:14" x14ac:dyDescent="0.2">
      <c r="A1128" s="1424"/>
      <c r="B1128" s="1427"/>
      <c r="C1128" s="1430"/>
      <c r="D1128" s="1427"/>
      <c r="E1128" s="1427"/>
      <c r="F1128" s="1427"/>
      <c r="G1128" s="1427"/>
      <c r="H1128" s="1427"/>
      <c r="N1128" s="1727"/>
    </row>
    <row r="1129" spans="1:14" x14ac:dyDescent="0.2">
      <c r="A1129" s="1424"/>
      <c r="B1129" s="1427"/>
      <c r="C1129" s="1430"/>
      <c r="D1129" s="1427"/>
      <c r="E1129" s="1427"/>
      <c r="F1129" s="1427"/>
      <c r="G1129" s="1427"/>
      <c r="H1129" s="1427"/>
      <c r="N1129" s="1727"/>
    </row>
    <row r="1130" spans="1:14" x14ac:dyDescent="0.2">
      <c r="A1130" s="1424"/>
      <c r="B1130" s="1427"/>
      <c r="C1130" s="1430"/>
      <c r="D1130" s="1427"/>
      <c r="E1130" s="1427"/>
      <c r="F1130" s="1427"/>
      <c r="G1130" s="1427"/>
      <c r="H1130" s="1427"/>
      <c r="N1130" s="1727"/>
    </row>
    <row r="1131" spans="1:14" x14ac:dyDescent="0.2">
      <c r="A1131" s="1424"/>
      <c r="B1131" s="1427"/>
      <c r="C1131" s="1430"/>
      <c r="D1131" s="1427"/>
      <c r="E1131" s="1427"/>
      <c r="F1131" s="1427"/>
      <c r="G1131" s="1427"/>
      <c r="H1131" s="1427"/>
      <c r="N1131" s="1727"/>
    </row>
    <row r="1132" spans="1:14" x14ac:dyDescent="0.2">
      <c r="A1132" s="1424"/>
      <c r="B1132" s="1427"/>
      <c r="C1132" s="1430"/>
      <c r="D1132" s="1427"/>
      <c r="E1132" s="1427"/>
      <c r="F1132" s="1427"/>
      <c r="G1132" s="1427"/>
      <c r="H1132" s="1427"/>
      <c r="N1132" s="1727"/>
    </row>
    <row r="1133" spans="1:14" x14ac:dyDescent="0.2">
      <c r="A1133" s="1424"/>
      <c r="B1133" s="1427"/>
      <c r="C1133" s="1430"/>
      <c r="D1133" s="1427"/>
      <c r="E1133" s="1427"/>
      <c r="F1133" s="1427"/>
      <c r="G1133" s="1427"/>
      <c r="H1133" s="1427"/>
      <c r="N1133" s="1727"/>
    </row>
    <row r="1134" spans="1:14" x14ac:dyDescent="0.2">
      <c r="A1134" s="1424"/>
      <c r="B1134" s="1427"/>
      <c r="C1134" s="1430"/>
      <c r="D1134" s="1427"/>
      <c r="E1134" s="1427"/>
      <c r="F1134" s="1427"/>
      <c r="G1134" s="1427"/>
      <c r="H1134" s="1427"/>
      <c r="N1134" s="1727"/>
    </row>
    <row r="1135" spans="1:14" x14ac:dyDescent="0.2">
      <c r="A1135" s="1424"/>
      <c r="B1135" s="1427"/>
      <c r="C1135" s="1430"/>
      <c r="D1135" s="1427"/>
      <c r="E1135" s="1427"/>
      <c r="F1135" s="1427"/>
      <c r="G1135" s="1427"/>
      <c r="H1135" s="1427"/>
      <c r="N1135" s="1727"/>
    </row>
    <row r="1136" spans="1:14" x14ac:dyDescent="0.2">
      <c r="A1136" s="1424"/>
      <c r="B1136" s="1427"/>
      <c r="C1136" s="1430"/>
      <c r="D1136" s="1427"/>
      <c r="E1136" s="1427"/>
      <c r="F1136" s="1427"/>
      <c r="G1136" s="1427"/>
      <c r="H1136" s="1427"/>
      <c r="N1136" s="1727"/>
    </row>
    <row r="1137" spans="1:14" x14ac:dyDescent="0.2">
      <c r="A1137" s="1424"/>
      <c r="B1137" s="1427"/>
      <c r="C1137" s="1430"/>
      <c r="D1137" s="1427"/>
      <c r="E1137" s="1427"/>
      <c r="F1137" s="1427"/>
      <c r="G1137" s="1427"/>
      <c r="H1137" s="1427"/>
      <c r="N1137" s="1727"/>
    </row>
    <row r="1138" spans="1:14" x14ac:dyDescent="0.2">
      <c r="A1138" s="1424"/>
      <c r="B1138" s="1427"/>
      <c r="C1138" s="1430"/>
      <c r="D1138" s="1427"/>
      <c r="E1138" s="1427"/>
      <c r="F1138" s="1427"/>
      <c r="G1138" s="1427"/>
      <c r="H1138" s="1427"/>
      <c r="N1138" s="1727"/>
    </row>
    <row r="1139" spans="1:14" x14ac:dyDescent="0.2">
      <c r="A1139" s="1424"/>
      <c r="B1139" s="1427"/>
      <c r="C1139" s="1430"/>
      <c r="D1139" s="1427"/>
      <c r="E1139" s="1427"/>
      <c r="F1139" s="1427"/>
      <c r="G1139" s="1427"/>
      <c r="H1139" s="1427"/>
      <c r="N1139" s="1727"/>
    </row>
    <row r="1140" spans="1:14" x14ac:dyDescent="0.2">
      <c r="A1140" s="1424"/>
      <c r="B1140" s="1427"/>
      <c r="C1140" s="1430"/>
      <c r="D1140" s="1427"/>
      <c r="E1140" s="1427"/>
      <c r="F1140" s="1427"/>
      <c r="G1140" s="1427"/>
      <c r="H1140" s="1427"/>
      <c r="N1140" s="1727"/>
    </row>
    <row r="1141" spans="1:14" x14ac:dyDescent="0.2">
      <c r="A1141" s="1424"/>
      <c r="B1141" s="1427"/>
      <c r="C1141" s="1430"/>
      <c r="D1141" s="1427"/>
      <c r="E1141" s="1427"/>
      <c r="F1141" s="1427"/>
      <c r="G1141" s="1427"/>
      <c r="H1141" s="1427"/>
      <c r="N1141" s="1727"/>
    </row>
    <row r="1142" spans="1:14" x14ac:dyDescent="0.2">
      <c r="A1142" s="1424"/>
      <c r="B1142" s="1427"/>
      <c r="C1142" s="1430"/>
      <c r="D1142" s="1427"/>
      <c r="E1142" s="1427"/>
      <c r="F1142" s="1427"/>
      <c r="G1142" s="1427"/>
      <c r="H1142" s="1427"/>
      <c r="N1142" s="1727"/>
    </row>
    <row r="1143" spans="1:14" x14ac:dyDescent="0.2">
      <c r="A1143" s="1424"/>
      <c r="B1143" s="1427"/>
      <c r="C1143" s="1430"/>
      <c r="D1143" s="1427"/>
      <c r="E1143" s="1427"/>
      <c r="F1143" s="1427"/>
      <c r="G1143" s="1427"/>
      <c r="H1143" s="1427"/>
      <c r="N1143" s="1727"/>
    </row>
    <row r="1144" spans="1:14" x14ac:dyDescent="0.2">
      <c r="A1144" s="1424"/>
      <c r="B1144" s="1427"/>
      <c r="C1144" s="1430"/>
      <c r="D1144" s="1427"/>
      <c r="E1144" s="1427"/>
      <c r="F1144" s="1427"/>
      <c r="G1144" s="1427"/>
      <c r="H1144" s="1427"/>
      <c r="N1144" s="1727"/>
    </row>
    <row r="1145" spans="1:14" x14ac:dyDescent="0.2">
      <c r="A1145" s="1424"/>
      <c r="B1145" s="1427"/>
      <c r="C1145" s="1430"/>
      <c r="D1145" s="1427"/>
      <c r="E1145" s="1427"/>
      <c r="F1145" s="1427"/>
      <c r="G1145" s="1427"/>
      <c r="H1145" s="1427"/>
      <c r="N1145" s="1727"/>
    </row>
    <row r="1146" spans="1:14" x14ac:dyDescent="0.2">
      <c r="A1146" s="1424"/>
      <c r="B1146" s="1427"/>
      <c r="C1146" s="1430"/>
      <c r="D1146" s="1427"/>
      <c r="E1146" s="1427"/>
      <c r="F1146" s="1427"/>
      <c r="G1146" s="1427"/>
      <c r="H1146" s="1427"/>
      <c r="N1146" s="1727"/>
    </row>
    <row r="1147" spans="1:14" x14ac:dyDescent="0.2">
      <c r="A1147" s="1424"/>
      <c r="B1147" s="1427"/>
      <c r="C1147" s="1430"/>
      <c r="D1147" s="1427"/>
      <c r="E1147" s="1427"/>
      <c r="F1147" s="1427"/>
      <c r="G1147" s="1427"/>
      <c r="H1147" s="1427"/>
      <c r="N1147" s="1727"/>
    </row>
    <row r="1148" spans="1:14" x14ac:dyDescent="0.2">
      <c r="A1148" s="1424"/>
      <c r="B1148" s="1427"/>
      <c r="C1148" s="1430"/>
      <c r="D1148" s="1427"/>
      <c r="E1148" s="1427"/>
      <c r="F1148" s="1427"/>
      <c r="G1148" s="1427"/>
      <c r="H1148" s="1427"/>
      <c r="N1148" s="1727"/>
    </row>
    <row r="1149" spans="1:14" x14ac:dyDescent="0.2">
      <c r="A1149" s="1424"/>
      <c r="B1149" s="1427"/>
      <c r="C1149" s="1430"/>
      <c r="D1149" s="1427"/>
      <c r="E1149" s="1427"/>
      <c r="F1149" s="1427"/>
      <c r="G1149" s="1427"/>
      <c r="H1149" s="1427"/>
      <c r="N1149" s="1727"/>
    </row>
    <row r="1150" spans="1:14" x14ac:dyDescent="0.2">
      <c r="A1150" s="1424"/>
      <c r="B1150" s="1427"/>
      <c r="C1150" s="1430"/>
      <c r="D1150" s="1427"/>
      <c r="E1150" s="1427"/>
      <c r="F1150" s="1427"/>
      <c r="G1150" s="1427"/>
      <c r="H1150" s="1427"/>
      <c r="N1150" s="1727"/>
    </row>
    <row r="1151" spans="1:14" x14ac:dyDescent="0.2">
      <c r="A1151" s="1424"/>
      <c r="B1151" s="1427"/>
      <c r="C1151" s="1430"/>
      <c r="D1151" s="1427"/>
      <c r="E1151" s="1427"/>
      <c r="F1151" s="1427"/>
      <c r="G1151" s="1427"/>
      <c r="H1151" s="1427"/>
      <c r="N1151" s="1727"/>
    </row>
    <row r="1152" spans="1:14" x14ac:dyDescent="0.2">
      <c r="A1152" s="1424"/>
      <c r="B1152" s="1427"/>
      <c r="C1152" s="1430"/>
      <c r="D1152" s="1427"/>
      <c r="E1152" s="1427"/>
      <c r="F1152" s="1427"/>
      <c r="G1152" s="1427"/>
      <c r="H1152" s="1427"/>
      <c r="N1152" s="1727"/>
    </row>
    <row r="1153" spans="1:14" x14ac:dyDescent="0.2">
      <c r="A1153" s="1424"/>
      <c r="B1153" s="1427"/>
      <c r="C1153" s="1430"/>
      <c r="D1153" s="1427"/>
      <c r="E1153" s="1427"/>
      <c r="F1153" s="1427"/>
      <c r="G1153" s="1427"/>
      <c r="H1153" s="1427"/>
      <c r="N1153" s="1727"/>
    </row>
    <row r="1154" spans="1:14" x14ac:dyDescent="0.2">
      <c r="A1154" s="1424"/>
      <c r="B1154" s="1427"/>
      <c r="C1154" s="1430"/>
      <c r="D1154" s="1427"/>
      <c r="E1154" s="1427"/>
      <c r="F1154" s="1427"/>
      <c r="G1154" s="1427"/>
      <c r="H1154" s="1427"/>
      <c r="N1154" s="1727"/>
    </row>
    <row r="1155" spans="1:14" x14ac:dyDescent="0.2">
      <c r="A1155" s="1424"/>
      <c r="B1155" s="1427"/>
      <c r="C1155" s="1430"/>
      <c r="D1155" s="1427"/>
      <c r="E1155" s="1427"/>
      <c r="F1155" s="1427"/>
      <c r="G1155" s="1427"/>
      <c r="H1155" s="1427"/>
      <c r="N1155" s="1727"/>
    </row>
    <row r="1156" spans="1:14" x14ac:dyDescent="0.2">
      <c r="A1156" s="1424"/>
      <c r="B1156" s="1427"/>
      <c r="C1156" s="1430"/>
      <c r="D1156" s="1427"/>
      <c r="E1156" s="1427"/>
      <c r="F1156" s="1427"/>
      <c r="G1156" s="1427"/>
      <c r="H1156" s="1427"/>
      <c r="N1156" s="1727"/>
    </row>
    <row r="1157" spans="1:14" x14ac:dyDescent="0.2">
      <c r="A1157" s="1424"/>
      <c r="B1157" s="1427"/>
      <c r="C1157" s="1430"/>
      <c r="D1157" s="1427"/>
      <c r="E1157" s="1427"/>
      <c r="F1157" s="1427"/>
      <c r="G1157" s="1427"/>
      <c r="H1157" s="1427"/>
      <c r="N1157" s="1727"/>
    </row>
    <row r="1158" spans="1:14" x14ac:dyDescent="0.2">
      <c r="A1158" s="1424"/>
      <c r="B1158" s="1427"/>
      <c r="C1158" s="1430"/>
      <c r="D1158" s="1427"/>
      <c r="E1158" s="1427"/>
      <c r="F1158" s="1427"/>
      <c r="G1158" s="1427"/>
      <c r="H1158" s="1427"/>
      <c r="N1158" s="1727"/>
    </row>
    <row r="1159" spans="1:14" x14ac:dyDescent="0.2">
      <c r="A1159" s="1424"/>
      <c r="B1159" s="1427"/>
      <c r="C1159" s="1430"/>
      <c r="D1159" s="1427"/>
      <c r="E1159" s="1427"/>
      <c r="F1159" s="1427"/>
      <c r="G1159" s="1427"/>
      <c r="H1159" s="1427"/>
      <c r="N1159" s="1727"/>
    </row>
    <row r="1160" spans="1:14" x14ac:dyDescent="0.2">
      <c r="A1160" s="1424"/>
      <c r="B1160" s="1427"/>
      <c r="C1160" s="1430"/>
      <c r="D1160" s="1427"/>
      <c r="E1160" s="1427"/>
      <c r="F1160" s="1427"/>
      <c r="G1160" s="1427"/>
      <c r="H1160" s="1427"/>
      <c r="N1160" s="1727"/>
    </row>
    <row r="1161" spans="1:14" x14ac:dyDescent="0.2">
      <c r="A1161" s="1424"/>
      <c r="B1161" s="1427"/>
      <c r="C1161" s="1430"/>
      <c r="D1161" s="1427"/>
      <c r="E1161" s="1427"/>
      <c r="F1161" s="1427"/>
      <c r="G1161" s="1427"/>
      <c r="H1161" s="1427"/>
      <c r="N1161" s="1727"/>
    </row>
    <row r="1162" spans="1:14" x14ac:dyDescent="0.2">
      <c r="A1162" s="1424"/>
      <c r="B1162" s="1427"/>
      <c r="C1162" s="1430"/>
      <c r="D1162" s="1427"/>
      <c r="E1162" s="1427"/>
      <c r="F1162" s="1427"/>
      <c r="G1162" s="1427"/>
      <c r="H1162" s="1427"/>
      <c r="N1162" s="1727"/>
    </row>
    <row r="1163" spans="1:14" x14ac:dyDescent="0.2">
      <c r="A1163" s="1424"/>
      <c r="B1163" s="1427"/>
      <c r="C1163" s="1430"/>
      <c r="D1163" s="1427"/>
      <c r="E1163" s="1427"/>
      <c r="F1163" s="1427"/>
      <c r="G1163" s="1427"/>
      <c r="H1163" s="1427"/>
      <c r="N1163" s="1727"/>
    </row>
    <row r="1164" spans="1:14" x14ac:dyDescent="0.2">
      <c r="A1164" s="1424"/>
      <c r="B1164" s="1427"/>
      <c r="C1164" s="1430"/>
      <c r="D1164" s="1427"/>
      <c r="E1164" s="1427"/>
      <c r="F1164" s="1427"/>
      <c r="G1164" s="1427"/>
      <c r="H1164" s="1427"/>
      <c r="N1164" s="1727"/>
    </row>
    <row r="1165" spans="1:14" x14ac:dyDescent="0.2">
      <c r="A1165" s="1424"/>
      <c r="B1165" s="1427"/>
      <c r="C1165" s="1430"/>
      <c r="D1165" s="1427"/>
      <c r="E1165" s="1427"/>
      <c r="F1165" s="1427"/>
      <c r="G1165" s="1427"/>
      <c r="H1165" s="1427"/>
      <c r="N1165" s="1727"/>
    </row>
    <row r="1166" spans="1:14" x14ac:dyDescent="0.2">
      <c r="A1166" s="1424"/>
      <c r="B1166" s="1427"/>
      <c r="C1166" s="1430"/>
      <c r="D1166" s="1427"/>
      <c r="E1166" s="1427"/>
      <c r="F1166" s="1427"/>
      <c r="G1166" s="1427"/>
      <c r="H1166" s="1427"/>
      <c r="N1166" s="1727"/>
    </row>
    <row r="1167" spans="1:14" x14ac:dyDescent="0.2">
      <c r="A1167" s="1424"/>
      <c r="B1167" s="1427"/>
      <c r="C1167" s="1430"/>
      <c r="D1167" s="1427"/>
      <c r="E1167" s="1427"/>
      <c r="F1167" s="1427"/>
      <c r="G1167" s="1427"/>
      <c r="H1167" s="1427"/>
      <c r="N1167" s="1727"/>
    </row>
    <row r="1168" spans="1:14" x14ac:dyDescent="0.2">
      <c r="A1168" s="1424"/>
      <c r="B1168" s="1427"/>
      <c r="C1168" s="1430"/>
      <c r="D1168" s="1427"/>
      <c r="E1168" s="1427"/>
      <c r="F1168" s="1427"/>
      <c r="G1168" s="1427"/>
      <c r="H1168" s="1427"/>
      <c r="N1168" s="1727"/>
    </row>
    <row r="1169" spans="1:14" x14ac:dyDescent="0.2">
      <c r="A1169" s="1424"/>
      <c r="B1169" s="1427"/>
      <c r="C1169" s="1430"/>
      <c r="D1169" s="1427"/>
      <c r="E1169" s="1427"/>
      <c r="F1169" s="1427"/>
      <c r="G1169" s="1427"/>
      <c r="H1169" s="1427"/>
      <c r="N1169" s="1727"/>
    </row>
    <row r="1170" spans="1:14" x14ac:dyDescent="0.2">
      <c r="A1170" s="1424"/>
      <c r="B1170" s="1427"/>
      <c r="C1170" s="1430"/>
      <c r="D1170" s="1427"/>
      <c r="E1170" s="1427"/>
      <c r="F1170" s="1427"/>
      <c r="G1170" s="1427"/>
      <c r="H1170" s="1427"/>
      <c r="N1170" s="1727"/>
    </row>
    <row r="1171" spans="1:14" x14ac:dyDescent="0.2">
      <c r="A1171" s="1424"/>
      <c r="B1171" s="1427"/>
      <c r="C1171" s="1430"/>
      <c r="D1171" s="1427"/>
      <c r="E1171" s="1427"/>
      <c r="F1171" s="1427"/>
      <c r="G1171" s="1427"/>
      <c r="H1171" s="1427"/>
      <c r="N1171" s="1727"/>
    </row>
    <row r="1172" spans="1:14" x14ac:dyDescent="0.2">
      <c r="A1172" s="1424"/>
      <c r="B1172" s="1427"/>
      <c r="C1172" s="1430"/>
      <c r="D1172" s="1427"/>
      <c r="E1172" s="1427"/>
      <c r="F1172" s="1427"/>
      <c r="G1172" s="1427"/>
      <c r="H1172" s="1427"/>
      <c r="N1172" s="1727"/>
    </row>
    <row r="1173" spans="1:14" x14ac:dyDescent="0.2">
      <c r="A1173" s="1424"/>
      <c r="B1173" s="1427"/>
      <c r="C1173" s="1430"/>
      <c r="D1173" s="1427"/>
      <c r="E1173" s="1427"/>
      <c r="F1173" s="1427"/>
      <c r="G1173" s="1427"/>
      <c r="H1173" s="1427"/>
      <c r="N1173" s="1727"/>
    </row>
    <row r="1174" spans="1:14" x14ac:dyDescent="0.2">
      <c r="A1174" s="1424"/>
      <c r="B1174" s="1427"/>
      <c r="C1174" s="1430"/>
      <c r="D1174" s="1427"/>
      <c r="E1174" s="1427"/>
      <c r="F1174" s="1427"/>
      <c r="G1174" s="1427"/>
      <c r="H1174" s="1427"/>
      <c r="N1174" s="1727"/>
    </row>
    <row r="1175" spans="1:14" x14ac:dyDescent="0.2">
      <c r="A1175" s="1424"/>
      <c r="B1175" s="1427"/>
      <c r="C1175" s="1430"/>
      <c r="D1175" s="1427"/>
      <c r="E1175" s="1427"/>
      <c r="F1175" s="1427"/>
      <c r="G1175" s="1427"/>
      <c r="H1175" s="1427"/>
      <c r="N1175" s="1727"/>
    </row>
    <row r="1176" spans="1:14" x14ac:dyDescent="0.2">
      <c r="A1176" s="1424"/>
      <c r="B1176" s="1427"/>
      <c r="C1176" s="1430"/>
      <c r="D1176" s="1427"/>
      <c r="E1176" s="1427"/>
      <c r="F1176" s="1427"/>
      <c r="G1176" s="1427"/>
      <c r="H1176" s="1427"/>
      <c r="N1176" s="1727"/>
    </row>
    <row r="1177" spans="1:14" x14ac:dyDescent="0.2">
      <c r="A1177" s="1424"/>
      <c r="B1177" s="1427"/>
      <c r="C1177" s="1430"/>
      <c r="D1177" s="1427"/>
      <c r="E1177" s="1427"/>
      <c r="F1177" s="1427"/>
      <c r="G1177" s="1427"/>
      <c r="H1177" s="1427"/>
      <c r="N1177" s="1727"/>
    </row>
    <row r="1178" spans="1:14" x14ac:dyDescent="0.2">
      <c r="A1178" s="1424"/>
      <c r="B1178" s="1427"/>
      <c r="C1178" s="1430"/>
      <c r="D1178" s="1427"/>
      <c r="E1178" s="1427"/>
      <c r="F1178" s="1427"/>
      <c r="G1178" s="1427"/>
      <c r="H1178" s="1427"/>
      <c r="N1178" s="1727"/>
    </row>
    <row r="1179" spans="1:14" x14ac:dyDescent="0.2">
      <c r="A1179" s="1424"/>
      <c r="B1179" s="1427"/>
      <c r="C1179" s="1430"/>
      <c r="D1179" s="1427"/>
      <c r="E1179" s="1427"/>
      <c r="F1179" s="1427"/>
      <c r="G1179" s="1427"/>
      <c r="H1179" s="1427"/>
      <c r="N1179" s="1727"/>
    </row>
    <row r="1180" spans="1:14" x14ac:dyDescent="0.2">
      <c r="A1180" s="1424"/>
      <c r="B1180" s="1427"/>
      <c r="C1180" s="1430"/>
      <c r="D1180" s="1427"/>
      <c r="E1180" s="1427"/>
      <c r="F1180" s="1427"/>
      <c r="G1180" s="1427"/>
      <c r="H1180" s="1427"/>
      <c r="N1180" s="1727"/>
    </row>
    <row r="1181" spans="1:14" x14ac:dyDescent="0.2">
      <c r="A1181" s="1424"/>
      <c r="B1181" s="1427"/>
      <c r="C1181" s="1430"/>
      <c r="D1181" s="1427"/>
      <c r="E1181" s="1427"/>
      <c r="F1181" s="1427"/>
      <c r="G1181" s="1427"/>
      <c r="H1181" s="1427"/>
      <c r="N1181" s="1727"/>
    </row>
    <row r="1182" spans="1:14" x14ac:dyDescent="0.2">
      <c r="A1182" s="1424"/>
      <c r="B1182" s="1427"/>
      <c r="C1182" s="1430"/>
      <c r="D1182" s="1427"/>
      <c r="E1182" s="1427"/>
      <c r="F1182" s="1427"/>
      <c r="G1182" s="1427"/>
      <c r="H1182" s="1427"/>
      <c r="N1182" s="1727"/>
    </row>
    <row r="1183" spans="1:14" x14ac:dyDescent="0.2">
      <c r="A1183" s="1424"/>
      <c r="B1183" s="1427"/>
      <c r="C1183" s="1430"/>
      <c r="D1183" s="1427"/>
      <c r="E1183" s="1427"/>
      <c r="F1183" s="1427"/>
      <c r="G1183" s="1427"/>
      <c r="H1183" s="1427"/>
      <c r="N1183" s="1727"/>
    </row>
    <row r="1184" spans="1:14" x14ac:dyDescent="0.2">
      <c r="A1184" s="1424"/>
      <c r="B1184" s="1427"/>
      <c r="C1184" s="1430"/>
      <c r="D1184" s="1427"/>
      <c r="E1184" s="1427"/>
      <c r="F1184" s="1427"/>
      <c r="G1184" s="1427"/>
      <c r="H1184" s="1427"/>
      <c r="N1184" s="1727"/>
    </row>
    <row r="1185" spans="1:14" x14ac:dyDescent="0.2">
      <c r="A1185" s="1424"/>
      <c r="B1185" s="1427"/>
      <c r="C1185" s="1430"/>
      <c r="D1185" s="1427"/>
      <c r="E1185" s="1427"/>
      <c r="F1185" s="1427"/>
      <c r="G1185" s="1427"/>
      <c r="H1185" s="1427"/>
      <c r="N1185" s="1727"/>
    </row>
    <row r="1186" spans="1:14" x14ac:dyDescent="0.2">
      <c r="A1186" s="1424"/>
      <c r="B1186" s="1427"/>
      <c r="C1186" s="1430"/>
      <c r="D1186" s="1427"/>
      <c r="E1186" s="1427"/>
      <c r="F1186" s="1427"/>
      <c r="G1186" s="1427"/>
      <c r="H1186" s="1427"/>
      <c r="N1186" s="1727"/>
    </row>
    <row r="1187" spans="1:14" x14ac:dyDescent="0.2">
      <c r="A1187" s="1424"/>
      <c r="B1187" s="1427"/>
      <c r="C1187" s="1430"/>
      <c r="D1187" s="1427"/>
      <c r="E1187" s="1427"/>
      <c r="F1187" s="1427"/>
      <c r="G1187" s="1427"/>
      <c r="H1187" s="1427"/>
      <c r="N1187" s="1727"/>
    </row>
    <row r="1188" spans="1:14" x14ac:dyDescent="0.2">
      <c r="A1188" s="1424"/>
      <c r="B1188" s="1427"/>
      <c r="C1188" s="1430"/>
      <c r="D1188" s="1427"/>
      <c r="E1188" s="1427"/>
      <c r="F1188" s="1427"/>
      <c r="G1188" s="1427"/>
      <c r="H1188" s="1427"/>
      <c r="N1188" s="1727"/>
    </row>
    <row r="1189" spans="1:14" x14ac:dyDescent="0.2">
      <c r="A1189" s="1424"/>
      <c r="B1189" s="1427"/>
      <c r="C1189" s="1430"/>
      <c r="D1189" s="1427"/>
      <c r="E1189" s="1427"/>
      <c r="F1189" s="1427"/>
      <c r="G1189" s="1427"/>
      <c r="H1189" s="1427"/>
      <c r="N1189" s="1727"/>
    </row>
    <row r="1190" spans="1:14" x14ac:dyDescent="0.2">
      <c r="A1190" s="1424"/>
      <c r="B1190" s="1427"/>
      <c r="C1190" s="1430"/>
      <c r="D1190" s="1427"/>
      <c r="E1190" s="1427"/>
      <c r="F1190" s="1427"/>
      <c r="G1190" s="1427"/>
      <c r="H1190" s="1427"/>
      <c r="N1190" s="1727"/>
    </row>
    <row r="1191" spans="1:14" x14ac:dyDescent="0.2">
      <c r="A1191" s="1424"/>
      <c r="B1191" s="1427"/>
      <c r="C1191" s="1430"/>
      <c r="D1191" s="1427"/>
      <c r="E1191" s="1427"/>
      <c r="F1191" s="1427"/>
      <c r="G1191" s="1427"/>
      <c r="H1191" s="1427"/>
      <c r="N1191" s="1727"/>
    </row>
    <row r="1192" spans="1:14" x14ac:dyDescent="0.2">
      <c r="A1192" s="1424"/>
      <c r="B1192" s="1427"/>
      <c r="C1192" s="1430"/>
      <c r="D1192" s="1427"/>
      <c r="E1192" s="1427"/>
      <c r="F1192" s="1427"/>
      <c r="G1192" s="1427"/>
      <c r="H1192" s="1427"/>
      <c r="N1192" s="1727"/>
    </row>
    <row r="1193" spans="1:14" x14ac:dyDescent="0.2">
      <c r="A1193" s="1424"/>
      <c r="B1193" s="1427"/>
      <c r="C1193" s="1430"/>
      <c r="D1193" s="1427"/>
      <c r="E1193" s="1427"/>
      <c r="F1193" s="1427"/>
      <c r="G1193" s="1427"/>
      <c r="H1193" s="1427"/>
      <c r="N1193" s="1727"/>
    </row>
    <row r="1194" spans="1:14" x14ac:dyDescent="0.2">
      <c r="A1194" s="1424"/>
      <c r="B1194" s="1427"/>
      <c r="C1194" s="1430"/>
      <c r="D1194" s="1427"/>
      <c r="E1194" s="1427"/>
      <c r="F1194" s="1427"/>
      <c r="G1194" s="1427"/>
      <c r="H1194" s="1427"/>
      <c r="N1194" s="1727"/>
    </row>
    <row r="1195" spans="1:14" x14ac:dyDescent="0.2">
      <c r="A1195" s="1424"/>
      <c r="B1195" s="1427"/>
      <c r="C1195" s="1430"/>
      <c r="D1195" s="1427"/>
      <c r="E1195" s="1427"/>
      <c r="F1195" s="1427"/>
      <c r="G1195" s="1427"/>
      <c r="H1195" s="1427"/>
      <c r="N1195" s="1727"/>
    </row>
    <row r="1196" spans="1:14" x14ac:dyDescent="0.2">
      <c r="A1196" s="1424"/>
      <c r="B1196" s="1427"/>
      <c r="C1196" s="1430"/>
      <c r="D1196" s="1427"/>
      <c r="E1196" s="1427"/>
      <c r="F1196" s="1427"/>
      <c r="G1196" s="1427"/>
      <c r="H1196" s="1427"/>
      <c r="N1196" s="1727"/>
    </row>
    <row r="1197" spans="1:14" x14ac:dyDescent="0.2">
      <c r="A1197" s="1424"/>
      <c r="B1197" s="1427"/>
      <c r="C1197" s="1430"/>
      <c r="D1197" s="1427"/>
      <c r="E1197" s="1427"/>
      <c r="F1197" s="1427"/>
      <c r="G1197" s="1427"/>
      <c r="H1197" s="1427"/>
      <c r="N1197" s="1727"/>
    </row>
    <row r="1198" spans="1:14" x14ac:dyDescent="0.2">
      <c r="A1198" s="1424"/>
      <c r="B1198" s="1427"/>
      <c r="C1198" s="1430"/>
      <c r="D1198" s="1427"/>
      <c r="E1198" s="1427"/>
      <c r="F1198" s="1427"/>
      <c r="G1198" s="1427"/>
      <c r="H1198" s="1427"/>
      <c r="N1198" s="1727"/>
    </row>
    <row r="1199" spans="1:14" x14ac:dyDescent="0.2">
      <c r="A1199" s="1424"/>
      <c r="B1199" s="1427"/>
      <c r="C1199" s="1430"/>
      <c r="D1199" s="1427"/>
      <c r="E1199" s="1427"/>
      <c r="F1199" s="1427"/>
      <c r="G1199" s="1427"/>
      <c r="H1199" s="1427"/>
      <c r="N1199" s="1727"/>
    </row>
    <row r="1200" spans="1:14" x14ac:dyDescent="0.2">
      <c r="A1200" s="1424"/>
      <c r="B1200" s="1427"/>
      <c r="C1200" s="1430"/>
      <c r="D1200" s="1427"/>
      <c r="E1200" s="1427"/>
      <c r="F1200" s="1427"/>
      <c r="G1200" s="1427"/>
      <c r="H1200" s="1427"/>
      <c r="N1200" s="1727"/>
    </row>
    <row r="1201" spans="1:14" x14ac:dyDescent="0.2">
      <c r="A1201" s="1424"/>
      <c r="B1201" s="1427"/>
      <c r="C1201" s="1430"/>
      <c r="D1201" s="1427"/>
      <c r="E1201" s="1427"/>
      <c r="F1201" s="1427"/>
      <c r="G1201" s="1427"/>
      <c r="H1201" s="1427"/>
      <c r="N1201" s="1727"/>
    </row>
    <row r="1202" spans="1:14" x14ac:dyDescent="0.2">
      <c r="A1202" s="1424"/>
      <c r="B1202" s="1427"/>
      <c r="C1202" s="1430"/>
      <c r="D1202" s="1427"/>
      <c r="E1202" s="1427"/>
      <c r="F1202" s="1427"/>
      <c r="G1202" s="1427"/>
      <c r="H1202" s="1427"/>
      <c r="N1202" s="1727"/>
    </row>
    <row r="1203" spans="1:14" x14ac:dyDescent="0.2">
      <c r="A1203" s="1424"/>
      <c r="B1203" s="1427"/>
      <c r="C1203" s="1430"/>
      <c r="D1203" s="1427"/>
      <c r="E1203" s="1427"/>
      <c r="F1203" s="1427"/>
      <c r="G1203" s="1427"/>
      <c r="H1203" s="1427"/>
      <c r="N1203" s="1727"/>
    </row>
    <row r="1204" spans="1:14" x14ac:dyDescent="0.2">
      <c r="A1204" s="1424"/>
      <c r="B1204" s="1427"/>
      <c r="C1204" s="1430"/>
      <c r="D1204" s="1427"/>
      <c r="E1204" s="1427"/>
      <c r="F1204" s="1427"/>
      <c r="G1204" s="1427"/>
      <c r="H1204" s="1427"/>
      <c r="N1204" s="1727"/>
    </row>
    <row r="1205" spans="1:14" x14ac:dyDescent="0.2">
      <c r="A1205" s="1424"/>
      <c r="B1205" s="1427"/>
      <c r="C1205" s="1430"/>
      <c r="D1205" s="1427"/>
      <c r="E1205" s="1427"/>
      <c r="F1205" s="1427"/>
      <c r="G1205" s="1427"/>
      <c r="H1205" s="1427"/>
      <c r="N1205" s="1727"/>
    </row>
    <row r="1206" spans="1:14" x14ac:dyDescent="0.2">
      <c r="A1206" s="1424"/>
      <c r="B1206" s="1427"/>
      <c r="C1206" s="1430"/>
      <c r="D1206" s="1427"/>
      <c r="E1206" s="1427"/>
      <c r="F1206" s="1427"/>
      <c r="G1206" s="1427"/>
      <c r="H1206" s="1427"/>
      <c r="N1206" s="1727"/>
    </row>
    <row r="1207" spans="1:14" x14ac:dyDescent="0.2">
      <c r="A1207" s="1424"/>
      <c r="B1207" s="1427"/>
      <c r="C1207" s="1430"/>
      <c r="D1207" s="1427"/>
      <c r="E1207" s="1427"/>
      <c r="F1207" s="1427"/>
      <c r="G1207" s="1427"/>
      <c r="H1207" s="1427"/>
      <c r="N1207" s="1727"/>
    </row>
    <row r="1208" spans="1:14" x14ac:dyDescent="0.2">
      <c r="A1208" s="1424"/>
      <c r="B1208" s="1427"/>
      <c r="C1208" s="1430"/>
      <c r="D1208" s="1427"/>
      <c r="E1208" s="1427"/>
      <c r="F1208" s="1427"/>
      <c r="G1208" s="1427"/>
      <c r="H1208" s="1427"/>
      <c r="N1208" s="1727"/>
    </row>
    <row r="1209" spans="1:14" x14ac:dyDescent="0.2">
      <c r="A1209" s="1424"/>
      <c r="B1209" s="1427"/>
      <c r="C1209" s="1430"/>
      <c r="D1209" s="1427"/>
      <c r="E1209" s="1427"/>
      <c r="F1209" s="1427"/>
      <c r="G1209" s="1427"/>
      <c r="H1209" s="1427"/>
      <c r="N1209" s="1727"/>
    </row>
    <row r="1210" spans="1:14" x14ac:dyDescent="0.2">
      <c r="A1210" s="1424"/>
      <c r="B1210" s="1427"/>
      <c r="C1210" s="1430"/>
      <c r="D1210" s="1427"/>
      <c r="E1210" s="1427"/>
      <c r="F1210" s="1427"/>
      <c r="G1210" s="1427"/>
      <c r="H1210" s="1427"/>
      <c r="N1210" s="1727"/>
    </row>
    <row r="1211" spans="1:14" x14ac:dyDescent="0.2">
      <c r="A1211" s="1424"/>
      <c r="B1211" s="1427"/>
      <c r="C1211" s="1430"/>
      <c r="D1211" s="1427"/>
      <c r="E1211" s="1427"/>
      <c r="F1211" s="1427"/>
      <c r="G1211" s="1427"/>
      <c r="H1211" s="1427"/>
      <c r="N1211" s="1727"/>
    </row>
    <row r="1212" spans="1:14" x14ac:dyDescent="0.2">
      <c r="A1212" s="1424"/>
      <c r="B1212" s="1427"/>
      <c r="C1212" s="1430"/>
      <c r="D1212" s="1427"/>
      <c r="E1212" s="1427"/>
      <c r="F1212" s="1427"/>
      <c r="G1212" s="1427"/>
      <c r="H1212" s="1427"/>
      <c r="N1212" s="1727"/>
    </row>
    <row r="1213" spans="1:14" x14ac:dyDescent="0.2">
      <c r="A1213" s="1424"/>
      <c r="B1213" s="1427"/>
      <c r="C1213" s="1430"/>
      <c r="D1213" s="1427"/>
      <c r="E1213" s="1427"/>
      <c r="F1213" s="1427"/>
      <c r="G1213" s="1427"/>
      <c r="H1213" s="1427"/>
      <c r="N1213" s="1727"/>
    </row>
    <row r="1214" spans="1:14" x14ac:dyDescent="0.2">
      <c r="A1214" s="1424"/>
      <c r="B1214" s="1427"/>
      <c r="C1214" s="1430"/>
      <c r="D1214" s="1427"/>
      <c r="E1214" s="1427"/>
      <c r="F1214" s="1427"/>
      <c r="G1214" s="1427"/>
      <c r="H1214" s="1427"/>
      <c r="N1214" s="1727"/>
    </row>
    <row r="1215" spans="1:14" x14ac:dyDescent="0.2">
      <c r="A1215" s="1424"/>
      <c r="B1215" s="1427"/>
      <c r="C1215" s="1430"/>
      <c r="D1215" s="1427"/>
      <c r="E1215" s="1427"/>
      <c r="F1215" s="1427"/>
      <c r="G1215" s="1427"/>
      <c r="H1215" s="1427"/>
      <c r="N1215" s="1727"/>
    </row>
    <row r="1216" spans="1:14" x14ac:dyDescent="0.2">
      <c r="A1216" s="1424"/>
      <c r="B1216" s="1427"/>
      <c r="C1216" s="1430"/>
      <c r="D1216" s="1427"/>
      <c r="E1216" s="1427"/>
      <c r="F1216" s="1427"/>
      <c r="G1216" s="1427"/>
      <c r="H1216" s="1427"/>
      <c r="N1216" s="1727"/>
    </row>
    <row r="1217" spans="1:14" x14ac:dyDescent="0.2">
      <c r="A1217" s="1424"/>
      <c r="B1217" s="1427"/>
      <c r="C1217" s="1430"/>
      <c r="D1217" s="1427"/>
      <c r="E1217" s="1427"/>
      <c r="F1217" s="1427"/>
      <c r="G1217" s="1427"/>
      <c r="H1217" s="1427"/>
      <c r="N1217" s="1727"/>
    </row>
    <row r="1218" spans="1:14" x14ac:dyDescent="0.2">
      <c r="A1218" s="1424"/>
      <c r="B1218" s="1427"/>
      <c r="C1218" s="1430"/>
      <c r="D1218" s="1427"/>
      <c r="E1218" s="1427"/>
      <c r="F1218" s="1427"/>
      <c r="G1218" s="1427"/>
      <c r="H1218" s="1427"/>
      <c r="N1218" s="1727"/>
    </row>
    <row r="1219" spans="1:14" x14ac:dyDescent="0.2">
      <c r="A1219" s="1424"/>
      <c r="B1219" s="1427"/>
      <c r="C1219" s="1430"/>
      <c r="D1219" s="1427"/>
      <c r="E1219" s="1427"/>
      <c r="F1219" s="1427"/>
      <c r="G1219" s="1427"/>
      <c r="H1219" s="1427"/>
      <c r="N1219" s="1727"/>
    </row>
    <row r="1220" spans="1:14" x14ac:dyDescent="0.2">
      <c r="A1220" s="1424"/>
      <c r="B1220" s="1427"/>
      <c r="C1220" s="1430"/>
      <c r="D1220" s="1427"/>
      <c r="E1220" s="1427"/>
      <c r="F1220" s="1427"/>
      <c r="G1220" s="1427"/>
      <c r="H1220" s="1427"/>
      <c r="N1220" s="1727"/>
    </row>
    <row r="1221" spans="1:14" x14ac:dyDescent="0.2">
      <c r="A1221" s="1424"/>
      <c r="B1221" s="1427"/>
      <c r="C1221" s="1430"/>
      <c r="D1221" s="1427"/>
      <c r="E1221" s="1427"/>
      <c r="F1221" s="1427"/>
      <c r="G1221" s="1427"/>
      <c r="H1221" s="1427"/>
      <c r="N1221" s="1727"/>
    </row>
    <row r="1222" spans="1:14" x14ac:dyDescent="0.2">
      <c r="A1222" s="1424"/>
      <c r="B1222" s="1427"/>
      <c r="C1222" s="1430"/>
      <c r="D1222" s="1427"/>
      <c r="E1222" s="1427"/>
      <c r="F1222" s="1427"/>
      <c r="G1222" s="1427"/>
      <c r="H1222" s="1427"/>
      <c r="N1222" s="1727"/>
    </row>
    <row r="1223" spans="1:14" x14ac:dyDescent="0.2">
      <c r="A1223" s="1424"/>
      <c r="B1223" s="1427"/>
      <c r="C1223" s="1430"/>
      <c r="D1223" s="1427"/>
      <c r="E1223" s="1427"/>
      <c r="F1223" s="1427"/>
      <c r="G1223" s="1427"/>
      <c r="H1223" s="1427"/>
      <c r="N1223" s="1727"/>
    </row>
    <row r="1224" spans="1:14" x14ac:dyDescent="0.2">
      <c r="A1224" s="1424"/>
      <c r="B1224" s="1427"/>
      <c r="C1224" s="1430"/>
      <c r="D1224" s="1427"/>
      <c r="E1224" s="1427"/>
      <c r="F1224" s="1427"/>
      <c r="G1224" s="1427"/>
      <c r="H1224" s="1427"/>
      <c r="N1224" s="1727"/>
    </row>
    <row r="1225" spans="1:14" x14ac:dyDescent="0.2">
      <c r="A1225" s="1424"/>
      <c r="B1225" s="1427"/>
      <c r="C1225" s="1430"/>
      <c r="D1225" s="1427"/>
      <c r="E1225" s="1427"/>
      <c r="F1225" s="1427"/>
      <c r="G1225" s="1427"/>
      <c r="H1225" s="1427"/>
      <c r="N1225" s="1727"/>
    </row>
    <row r="1226" spans="1:14" x14ac:dyDescent="0.2">
      <c r="A1226" s="1424"/>
      <c r="B1226" s="1427"/>
      <c r="C1226" s="1430"/>
      <c r="D1226" s="1427"/>
      <c r="E1226" s="1427"/>
      <c r="F1226" s="1427"/>
      <c r="G1226" s="1427"/>
      <c r="H1226" s="1427"/>
      <c r="N1226" s="1727"/>
    </row>
    <row r="1227" spans="1:14" x14ac:dyDescent="0.2">
      <c r="A1227" s="1424"/>
      <c r="B1227" s="1427"/>
      <c r="C1227" s="1430"/>
      <c r="D1227" s="1427"/>
      <c r="E1227" s="1427"/>
      <c r="F1227" s="1427"/>
      <c r="G1227" s="1427"/>
      <c r="H1227" s="1427"/>
      <c r="N1227" s="1727"/>
    </row>
    <row r="1228" spans="1:14" x14ac:dyDescent="0.2">
      <c r="A1228" s="1424"/>
      <c r="B1228" s="1427"/>
      <c r="C1228" s="1430"/>
      <c r="D1228" s="1427"/>
      <c r="E1228" s="1427"/>
      <c r="F1228" s="1427"/>
      <c r="G1228" s="1427"/>
      <c r="H1228" s="1427"/>
      <c r="N1228" s="1727"/>
    </row>
    <row r="1229" spans="1:14" x14ac:dyDescent="0.2">
      <c r="A1229" s="1424"/>
      <c r="B1229" s="1427"/>
      <c r="C1229" s="1430"/>
      <c r="D1229" s="1427"/>
      <c r="E1229" s="1427"/>
      <c r="F1229" s="1427"/>
      <c r="G1229" s="1427"/>
      <c r="H1229" s="1427"/>
      <c r="N1229" s="1727"/>
    </row>
    <row r="1230" spans="1:14" x14ac:dyDescent="0.2">
      <c r="A1230" s="1424"/>
      <c r="B1230" s="1427"/>
      <c r="C1230" s="1430"/>
      <c r="D1230" s="1427"/>
      <c r="E1230" s="1427"/>
      <c r="F1230" s="1427"/>
      <c r="G1230" s="1427"/>
      <c r="H1230" s="1427"/>
      <c r="N1230" s="1727"/>
    </row>
    <row r="1231" spans="1:14" x14ac:dyDescent="0.2">
      <c r="A1231" s="1424"/>
      <c r="B1231" s="1427"/>
      <c r="C1231" s="1430"/>
      <c r="D1231" s="1427"/>
      <c r="E1231" s="1427"/>
      <c r="F1231" s="1427"/>
      <c r="G1231" s="1427"/>
      <c r="H1231" s="1427"/>
      <c r="N1231" s="1727"/>
    </row>
    <row r="1232" spans="1:14" x14ac:dyDescent="0.2">
      <c r="A1232" s="1424"/>
      <c r="B1232" s="1427"/>
      <c r="C1232" s="1430"/>
      <c r="D1232" s="1427"/>
      <c r="E1232" s="1427"/>
      <c r="F1232" s="1427"/>
      <c r="G1232" s="1427"/>
      <c r="H1232" s="1427"/>
      <c r="N1232" s="1727"/>
    </row>
    <row r="1233" spans="1:14" x14ac:dyDescent="0.2">
      <c r="A1233" s="1424"/>
      <c r="B1233" s="1427"/>
      <c r="C1233" s="1430"/>
      <c r="D1233" s="1427"/>
      <c r="E1233" s="1427"/>
      <c r="F1233" s="1427"/>
      <c r="G1233" s="1427"/>
      <c r="H1233" s="1427"/>
      <c r="N1233" s="1727"/>
    </row>
    <row r="1234" spans="1:14" x14ac:dyDescent="0.2">
      <c r="A1234" s="1424"/>
      <c r="B1234" s="1427"/>
      <c r="C1234" s="1430"/>
      <c r="D1234" s="1427"/>
      <c r="E1234" s="1427"/>
      <c r="F1234" s="1427"/>
      <c r="G1234" s="1427"/>
      <c r="H1234" s="1427"/>
      <c r="N1234" s="1727"/>
    </row>
    <row r="1235" spans="1:14" x14ac:dyDescent="0.2">
      <c r="A1235" s="1424"/>
      <c r="B1235" s="1427"/>
      <c r="C1235" s="1430"/>
      <c r="D1235" s="1427"/>
      <c r="E1235" s="1427"/>
      <c r="F1235" s="1427"/>
      <c r="G1235" s="1427"/>
      <c r="H1235" s="1427"/>
      <c r="N1235" s="1727"/>
    </row>
    <row r="1236" spans="1:14" x14ac:dyDescent="0.2">
      <c r="A1236" s="1424"/>
      <c r="B1236" s="1427"/>
      <c r="C1236" s="1430"/>
      <c r="D1236" s="1427"/>
      <c r="E1236" s="1427"/>
      <c r="F1236" s="1427"/>
      <c r="G1236" s="1427"/>
      <c r="H1236" s="1427"/>
      <c r="N1236" s="1727"/>
    </row>
    <row r="1237" spans="1:14" x14ac:dyDescent="0.2">
      <c r="A1237" s="1424"/>
      <c r="B1237" s="1427"/>
      <c r="C1237" s="1430"/>
      <c r="D1237" s="1427"/>
      <c r="E1237" s="1427"/>
      <c r="F1237" s="1427"/>
      <c r="G1237" s="1427"/>
      <c r="H1237" s="1427"/>
      <c r="N1237" s="1727"/>
    </row>
    <row r="1238" spans="1:14" x14ac:dyDescent="0.2">
      <c r="A1238" s="1424"/>
      <c r="B1238" s="1427"/>
      <c r="C1238" s="1430"/>
      <c r="D1238" s="1427"/>
      <c r="E1238" s="1427"/>
      <c r="F1238" s="1427"/>
      <c r="G1238" s="1427"/>
      <c r="H1238" s="1427"/>
      <c r="N1238" s="1727"/>
    </row>
    <row r="1239" spans="1:14" x14ac:dyDescent="0.2">
      <c r="A1239" s="1424"/>
      <c r="B1239" s="1427"/>
      <c r="C1239" s="1430"/>
      <c r="D1239" s="1427"/>
      <c r="E1239" s="1427"/>
      <c r="F1239" s="1427"/>
      <c r="G1239" s="1427"/>
      <c r="H1239" s="1427"/>
      <c r="N1239" s="1727"/>
    </row>
    <row r="1240" spans="1:14" x14ac:dyDescent="0.2">
      <c r="A1240" s="1424"/>
      <c r="B1240" s="1427"/>
      <c r="C1240" s="1430"/>
      <c r="D1240" s="1427"/>
      <c r="E1240" s="1427"/>
      <c r="F1240" s="1427"/>
      <c r="G1240" s="1427"/>
      <c r="H1240" s="1427"/>
      <c r="N1240" s="1727"/>
    </row>
    <row r="1241" spans="1:14" x14ac:dyDescent="0.2">
      <c r="A1241" s="1424"/>
      <c r="B1241" s="1427"/>
      <c r="C1241" s="1430"/>
      <c r="D1241" s="1427"/>
      <c r="E1241" s="1427"/>
      <c r="F1241" s="1427"/>
      <c r="G1241" s="1427"/>
      <c r="H1241" s="1427"/>
      <c r="N1241" s="1727"/>
    </row>
    <row r="1242" spans="1:14" x14ac:dyDescent="0.2">
      <c r="A1242" s="1424"/>
      <c r="B1242" s="1427"/>
      <c r="C1242" s="1430"/>
      <c r="D1242" s="1427"/>
      <c r="E1242" s="1427"/>
      <c r="F1242" s="1427"/>
      <c r="G1242" s="1427"/>
      <c r="H1242" s="1427"/>
      <c r="N1242" s="1727"/>
    </row>
    <row r="1243" spans="1:14" x14ac:dyDescent="0.2">
      <c r="A1243" s="1424"/>
      <c r="B1243" s="1427"/>
      <c r="C1243" s="1430"/>
      <c r="D1243" s="1427"/>
      <c r="E1243" s="1427"/>
      <c r="F1243" s="1427"/>
      <c r="G1243" s="1427"/>
      <c r="H1243" s="1427"/>
      <c r="N1243" s="1727"/>
    </row>
    <row r="1244" spans="1:14" x14ac:dyDescent="0.2">
      <c r="A1244" s="1424"/>
      <c r="B1244" s="1427"/>
      <c r="C1244" s="1430"/>
      <c r="D1244" s="1427"/>
      <c r="E1244" s="1427"/>
      <c r="F1244" s="1427"/>
      <c r="G1244" s="1427"/>
      <c r="H1244" s="1427"/>
      <c r="N1244" s="1727"/>
    </row>
    <row r="1245" spans="1:14" x14ac:dyDescent="0.2">
      <c r="A1245" s="1424"/>
      <c r="B1245" s="1427"/>
      <c r="C1245" s="1430"/>
      <c r="D1245" s="1427"/>
      <c r="E1245" s="1427"/>
      <c r="F1245" s="1427"/>
      <c r="G1245" s="1427"/>
      <c r="H1245" s="1427"/>
      <c r="N1245" s="1727"/>
    </row>
    <row r="1246" spans="1:14" x14ac:dyDescent="0.2">
      <c r="A1246" s="1424"/>
      <c r="B1246" s="1427"/>
      <c r="C1246" s="1430"/>
      <c r="D1246" s="1427"/>
      <c r="E1246" s="1427"/>
      <c r="F1246" s="1427"/>
      <c r="G1246" s="1427"/>
      <c r="H1246" s="1427"/>
      <c r="N1246" s="1727"/>
    </row>
    <row r="1247" spans="1:14" x14ac:dyDescent="0.2">
      <c r="A1247" s="1424"/>
      <c r="B1247" s="1427"/>
      <c r="C1247" s="1430"/>
      <c r="D1247" s="1427"/>
      <c r="E1247" s="1427"/>
      <c r="F1247" s="1427"/>
      <c r="G1247" s="1427"/>
      <c r="H1247" s="1427"/>
      <c r="N1247" s="1727"/>
    </row>
    <row r="1248" spans="1:14" x14ac:dyDescent="0.2">
      <c r="A1248" s="1424"/>
      <c r="B1248" s="1427"/>
      <c r="C1248" s="1430"/>
      <c r="D1248" s="1427"/>
      <c r="E1248" s="1427"/>
      <c r="F1248" s="1427"/>
      <c r="G1248" s="1427"/>
      <c r="H1248" s="1427"/>
      <c r="N1248" s="1727"/>
    </row>
    <row r="1249" spans="1:14" x14ac:dyDescent="0.2">
      <c r="A1249" s="1424"/>
      <c r="B1249" s="1427"/>
      <c r="C1249" s="1430"/>
      <c r="D1249" s="1427"/>
      <c r="E1249" s="1427"/>
      <c r="F1249" s="1427"/>
      <c r="G1249" s="1427"/>
      <c r="H1249" s="1427"/>
      <c r="N1249" s="1727"/>
    </row>
    <row r="1250" spans="1:14" x14ac:dyDescent="0.2">
      <c r="A1250" s="1424"/>
      <c r="B1250" s="1427"/>
      <c r="C1250" s="1430"/>
      <c r="D1250" s="1427"/>
      <c r="E1250" s="1427"/>
      <c r="F1250" s="1427"/>
      <c r="G1250" s="1427"/>
      <c r="H1250" s="1427"/>
      <c r="N1250" s="1727"/>
    </row>
    <row r="1251" spans="1:14" x14ac:dyDescent="0.2">
      <c r="A1251" s="1424"/>
      <c r="B1251" s="1427"/>
      <c r="C1251" s="1430"/>
      <c r="D1251" s="1427"/>
      <c r="E1251" s="1427"/>
      <c r="F1251" s="1427"/>
      <c r="G1251" s="1427"/>
      <c r="H1251" s="1427"/>
      <c r="N1251" s="1727"/>
    </row>
    <row r="1252" spans="1:14" x14ac:dyDescent="0.2">
      <c r="A1252" s="1424"/>
      <c r="B1252" s="1427"/>
      <c r="C1252" s="1430"/>
      <c r="D1252" s="1427"/>
      <c r="E1252" s="1427"/>
      <c r="F1252" s="1427"/>
      <c r="G1252" s="1427"/>
      <c r="H1252" s="1427"/>
      <c r="N1252" s="1727"/>
    </row>
    <row r="1253" spans="1:14" x14ac:dyDescent="0.2">
      <c r="A1253" s="1424"/>
      <c r="B1253" s="1427"/>
      <c r="C1253" s="1430"/>
      <c r="D1253" s="1427"/>
      <c r="E1253" s="1427"/>
      <c r="F1253" s="1427"/>
      <c r="G1253" s="1427"/>
      <c r="H1253" s="1427"/>
      <c r="N1253" s="1727"/>
    </row>
    <row r="1254" spans="1:14" x14ac:dyDescent="0.2">
      <c r="A1254" s="1424"/>
      <c r="B1254" s="1427"/>
      <c r="C1254" s="1430"/>
      <c r="D1254" s="1427"/>
      <c r="E1254" s="1427"/>
      <c r="F1254" s="1427"/>
      <c r="G1254" s="1427"/>
      <c r="H1254" s="1427"/>
      <c r="N1254" s="1727"/>
    </row>
    <row r="1255" spans="1:14" x14ac:dyDescent="0.2">
      <c r="A1255" s="1424"/>
      <c r="B1255" s="1427"/>
      <c r="C1255" s="1430"/>
      <c r="D1255" s="1427"/>
      <c r="E1255" s="1427"/>
      <c r="F1255" s="1427"/>
      <c r="G1255" s="1427"/>
      <c r="H1255" s="1427"/>
      <c r="N1255" s="1727"/>
    </row>
    <row r="1256" spans="1:14" x14ac:dyDescent="0.2">
      <c r="A1256" s="1424"/>
      <c r="B1256" s="1427"/>
      <c r="C1256" s="1430"/>
      <c r="D1256" s="1427"/>
      <c r="E1256" s="1427"/>
      <c r="F1256" s="1427"/>
      <c r="G1256" s="1427"/>
      <c r="H1256" s="1427"/>
      <c r="N1256" s="1727"/>
    </row>
    <row r="1257" spans="1:14" x14ac:dyDescent="0.2">
      <c r="A1257" s="1424"/>
      <c r="B1257" s="1427"/>
      <c r="C1257" s="1430"/>
      <c r="D1257" s="1427"/>
      <c r="E1257" s="1427"/>
      <c r="F1257" s="1427"/>
      <c r="G1257" s="1427"/>
      <c r="H1257" s="1427"/>
      <c r="N1257" s="1727"/>
    </row>
    <row r="1258" spans="1:14" x14ac:dyDescent="0.2">
      <c r="A1258" s="1424"/>
      <c r="B1258" s="1427"/>
      <c r="C1258" s="1430"/>
      <c r="D1258" s="1427"/>
      <c r="E1258" s="1427"/>
      <c r="F1258" s="1427"/>
      <c r="G1258" s="1427"/>
      <c r="H1258" s="1427"/>
      <c r="N1258" s="1727"/>
    </row>
    <row r="1259" spans="1:14" x14ac:dyDescent="0.2">
      <c r="A1259" s="1424"/>
      <c r="B1259" s="1427"/>
      <c r="C1259" s="1430"/>
      <c r="D1259" s="1427"/>
      <c r="E1259" s="1427"/>
      <c r="F1259" s="1427"/>
      <c r="G1259" s="1427"/>
      <c r="H1259" s="1427"/>
      <c r="N1259" s="1727"/>
    </row>
    <row r="1260" spans="1:14" x14ac:dyDescent="0.2">
      <c r="A1260" s="1424"/>
      <c r="B1260" s="1427"/>
      <c r="C1260" s="1430"/>
      <c r="D1260" s="1427"/>
      <c r="E1260" s="1427"/>
      <c r="F1260" s="1427"/>
      <c r="G1260" s="1427"/>
      <c r="H1260" s="1427"/>
      <c r="N1260" s="1727"/>
    </row>
    <row r="1261" spans="1:14" x14ac:dyDescent="0.2">
      <c r="A1261" s="1424"/>
      <c r="B1261" s="1427"/>
      <c r="C1261" s="1430"/>
      <c r="D1261" s="1427"/>
      <c r="E1261" s="1427"/>
      <c r="F1261" s="1427"/>
      <c r="G1261" s="1427"/>
      <c r="H1261" s="1427"/>
      <c r="N1261" s="1727"/>
    </row>
    <row r="1262" spans="1:14" x14ac:dyDescent="0.2">
      <c r="A1262" s="1424"/>
      <c r="B1262" s="1427"/>
      <c r="C1262" s="1430"/>
      <c r="D1262" s="1427"/>
      <c r="E1262" s="1427"/>
      <c r="F1262" s="1427"/>
      <c r="G1262" s="1427"/>
      <c r="H1262" s="1427"/>
      <c r="N1262" s="1727"/>
    </row>
    <row r="1263" spans="1:14" x14ac:dyDescent="0.2">
      <c r="A1263" s="1424"/>
      <c r="B1263" s="1427"/>
      <c r="C1263" s="1430"/>
      <c r="D1263" s="1427"/>
      <c r="E1263" s="1427"/>
      <c r="F1263" s="1427"/>
      <c r="G1263" s="1427"/>
      <c r="H1263" s="1427"/>
      <c r="N1263" s="1727"/>
    </row>
    <row r="1264" spans="1:14" x14ac:dyDescent="0.2">
      <c r="A1264" s="1424"/>
      <c r="B1264" s="1427"/>
      <c r="C1264" s="1430"/>
      <c r="D1264" s="1427"/>
      <c r="E1264" s="1427"/>
      <c r="F1264" s="1427"/>
      <c r="G1264" s="1427"/>
      <c r="H1264" s="1427"/>
      <c r="N1264" s="1727"/>
    </row>
    <row r="1265" spans="1:14" x14ac:dyDescent="0.2">
      <c r="A1265" s="1424"/>
      <c r="B1265" s="1427"/>
      <c r="C1265" s="1430"/>
      <c r="D1265" s="1427"/>
      <c r="E1265" s="1427"/>
      <c r="F1265" s="1427"/>
      <c r="G1265" s="1427"/>
      <c r="H1265" s="1427"/>
      <c r="N1265" s="1727"/>
    </row>
    <row r="1266" spans="1:14" x14ac:dyDescent="0.2">
      <c r="A1266" s="1424"/>
      <c r="B1266" s="1427"/>
      <c r="C1266" s="1430"/>
      <c r="D1266" s="1427"/>
      <c r="E1266" s="1427"/>
      <c r="F1266" s="1427"/>
      <c r="G1266" s="1427"/>
      <c r="H1266" s="1427"/>
      <c r="N1266" s="1727"/>
    </row>
    <row r="1267" spans="1:14" x14ac:dyDescent="0.2">
      <c r="A1267" s="1424"/>
      <c r="B1267" s="1427"/>
      <c r="C1267" s="1430"/>
      <c r="D1267" s="1427"/>
      <c r="E1267" s="1427"/>
      <c r="F1267" s="1427"/>
      <c r="G1267" s="1427"/>
      <c r="H1267" s="1427"/>
      <c r="N1267" s="1727"/>
    </row>
    <row r="1268" spans="1:14" x14ac:dyDescent="0.2">
      <c r="A1268" s="1424"/>
      <c r="B1268" s="1427"/>
      <c r="C1268" s="1430"/>
      <c r="D1268" s="1427"/>
      <c r="E1268" s="1427"/>
      <c r="F1268" s="1427"/>
      <c r="G1268" s="1427"/>
      <c r="H1268" s="1427"/>
      <c r="N1268" s="1727"/>
    </row>
    <row r="1269" spans="1:14" x14ac:dyDescent="0.2">
      <c r="A1269" s="1424"/>
      <c r="B1269" s="1427"/>
      <c r="C1269" s="1430"/>
      <c r="D1269" s="1427"/>
      <c r="E1269" s="1427"/>
      <c r="F1269" s="1427"/>
      <c r="G1269" s="1427"/>
      <c r="H1269" s="1427"/>
      <c r="N1269" s="1727"/>
    </row>
    <row r="1270" spans="1:14" x14ac:dyDescent="0.2">
      <c r="A1270" s="1424"/>
      <c r="B1270" s="1427"/>
      <c r="C1270" s="1430"/>
      <c r="D1270" s="1427"/>
      <c r="E1270" s="1427"/>
      <c r="F1270" s="1427"/>
      <c r="G1270" s="1427"/>
      <c r="H1270" s="1427"/>
      <c r="N1270" s="1727"/>
    </row>
    <row r="1271" spans="1:14" x14ac:dyDescent="0.2">
      <c r="A1271" s="1424"/>
      <c r="B1271" s="1427"/>
      <c r="C1271" s="1430"/>
      <c r="D1271" s="1427"/>
      <c r="E1271" s="1427"/>
      <c r="F1271" s="1427"/>
      <c r="G1271" s="1427"/>
      <c r="H1271" s="1427"/>
      <c r="N1271" s="1727"/>
    </row>
    <row r="1272" spans="1:14" x14ac:dyDescent="0.2">
      <c r="A1272" s="1424"/>
      <c r="B1272" s="1427"/>
      <c r="C1272" s="1430"/>
      <c r="D1272" s="1427"/>
      <c r="E1272" s="1427"/>
      <c r="F1272" s="1427"/>
      <c r="G1272" s="1427"/>
      <c r="H1272" s="1427"/>
      <c r="N1272" s="1727"/>
    </row>
    <row r="1273" spans="1:14" x14ac:dyDescent="0.2">
      <c r="A1273" s="1424"/>
      <c r="B1273" s="1427"/>
      <c r="C1273" s="1430"/>
      <c r="D1273" s="1427"/>
      <c r="E1273" s="1427"/>
      <c r="F1273" s="1427"/>
      <c r="G1273" s="1427"/>
      <c r="H1273" s="1427"/>
      <c r="N1273" s="1727"/>
    </row>
    <row r="1274" spans="1:14" x14ac:dyDescent="0.2">
      <c r="A1274" s="1424"/>
      <c r="B1274" s="1427"/>
      <c r="C1274" s="1430"/>
      <c r="D1274" s="1427"/>
      <c r="E1274" s="1427"/>
      <c r="F1274" s="1427"/>
      <c r="G1274" s="1427"/>
      <c r="H1274" s="1427"/>
      <c r="N1274" s="1727"/>
    </row>
    <row r="1275" spans="1:14" x14ac:dyDescent="0.2">
      <c r="A1275" s="1424"/>
      <c r="B1275" s="1427"/>
      <c r="C1275" s="1430"/>
      <c r="D1275" s="1427"/>
      <c r="E1275" s="1427"/>
      <c r="F1275" s="1427"/>
      <c r="G1275" s="1427"/>
      <c r="H1275" s="1427"/>
      <c r="N1275" s="1727"/>
    </row>
    <row r="1276" spans="1:14" x14ac:dyDescent="0.2">
      <c r="A1276" s="1424"/>
      <c r="B1276" s="1427"/>
      <c r="C1276" s="1430"/>
      <c r="D1276" s="1427"/>
      <c r="E1276" s="1427"/>
      <c r="F1276" s="1427"/>
      <c r="G1276" s="1427"/>
      <c r="H1276" s="1427"/>
      <c r="N1276" s="1727"/>
    </row>
    <row r="1277" spans="1:14" x14ac:dyDescent="0.2">
      <c r="A1277" s="1424"/>
      <c r="B1277" s="1427"/>
      <c r="C1277" s="1430"/>
      <c r="D1277" s="1427"/>
      <c r="E1277" s="1427"/>
      <c r="F1277" s="1427"/>
      <c r="G1277" s="1427"/>
      <c r="H1277" s="1427"/>
      <c r="N1277" s="1727"/>
    </row>
    <row r="1278" spans="1:14" x14ac:dyDescent="0.2">
      <c r="A1278" s="1424"/>
      <c r="B1278" s="1427"/>
      <c r="C1278" s="1430"/>
      <c r="D1278" s="1427"/>
      <c r="E1278" s="1427"/>
      <c r="F1278" s="1427"/>
      <c r="G1278" s="1427"/>
      <c r="H1278" s="1427"/>
      <c r="N1278" s="1727"/>
    </row>
    <row r="1279" spans="1:14" x14ac:dyDescent="0.2">
      <c r="A1279" s="1424"/>
      <c r="B1279" s="1427"/>
      <c r="C1279" s="1430"/>
      <c r="D1279" s="1427"/>
      <c r="E1279" s="1427"/>
      <c r="F1279" s="1427"/>
      <c r="G1279" s="1427"/>
      <c r="H1279" s="1427"/>
      <c r="N1279" s="1727"/>
    </row>
    <row r="1280" spans="1:14" x14ac:dyDescent="0.2">
      <c r="A1280" s="1424"/>
      <c r="B1280" s="1427"/>
      <c r="C1280" s="1430"/>
      <c r="D1280" s="1427"/>
      <c r="E1280" s="1427"/>
      <c r="F1280" s="1427"/>
      <c r="G1280" s="1427"/>
      <c r="H1280" s="1427"/>
      <c r="N1280" s="1727"/>
    </row>
    <row r="1281" spans="1:14" x14ac:dyDescent="0.2">
      <c r="A1281" s="1424"/>
      <c r="B1281" s="1427"/>
      <c r="C1281" s="1430"/>
      <c r="D1281" s="1427"/>
      <c r="E1281" s="1427"/>
      <c r="F1281" s="1427"/>
      <c r="G1281" s="1427"/>
      <c r="H1281" s="1427"/>
      <c r="N1281" s="1727"/>
    </row>
    <row r="1282" spans="1:14" x14ac:dyDescent="0.2">
      <c r="A1282" s="1424"/>
      <c r="B1282" s="1427"/>
      <c r="C1282" s="1430"/>
      <c r="D1282" s="1427"/>
      <c r="E1282" s="1427"/>
      <c r="F1282" s="1427"/>
      <c r="G1282" s="1427"/>
      <c r="H1282" s="1427"/>
      <c r="N1282" s="1727"/>
    </row>
    <row r="1283" spans="1:14" x14ac:dyDescent="0.2">
      <c r="A1283" s="1424"/>
      <c r="B1283" s="1427"/>
      <c r="C1283" s="1430"/>
      <c r="D1283" s="1427"/>
      <c r="E1283" s="1427"/>
      <c r="F1283" s="1427"/>
      <c r="G1283" s="1427"/>
      <c r="H1283" s="1427"/>
      <c r="N1283" s="1727"/>
    </row>
    <row r="1284" spans="1:14" x14ac:dyDescent="0.2">
      <c r="A1284" s="1424"/>
      <c r="B1284" s="1427"/>
      <c r="C1284" s="1430"/>
      <c r="D1284" s="1427"/>
      <c r="E1284" s="1427"/>
      <c r="F1284" s="1427"/>
      <c r="G1284" s="1427"/>
      <c r="H1284" s="1427"/>
      <c r="N1284" s="1727"/>
    </row>
    <row r="1285" spans="1:14" x14ac:dyDescent="0.2">
      <c r="A1285" s="1424"/>
      <c r="B1285" s="1427"/>
      <c r="C1285" s="1430"/>
      <c r="D1285" s="1427"/>
      <c r="E1285" s="1427"/>
      <c r="F1285" s="1427"/>
      <c r="G1285" s="1427"/>
      <c r="H1285" s="1427"/>
      <c r="N1285" s="1727"/>
    </row>
    <row r="1286" spans="1:14" x14ac:dyDescent="0.2">
      <c r="A1286" s="1424"/>
      <c r="B1286" s="1427"/>
      <c r="C1286" s="1430"/>
      <c r="D1286" s="1427"/>
      <c r="E1286" s="1427"/>
      <c r="F1286" s="1427"/>
      <c r="G1286" s="1427"/>
      <c r="H1286" s="1427"/>
      <c r="N1286" s="1727"/>
    </row>
    <row r="1287" spans="1:14" x14ac:dyDescent="0.2">
      <c r="A1287" s="1424"/>
      <c r="B1287" s="1427"/>
      <c r="C1287" s="1430"/>
      <c r="D1287" s="1427"/>
      <c r="E1287" s="1427"/>
      <c r="F1287" s="1427"/>
      <c r="G1287" s="1427"/>
      <c r="H1287" s="1427"/>
      <c r="N1287" s="1727"/>
    </row>
    <row r="1288" spans="1:14" x14ac:dyDescent="0.2">
      <c r="A1288" s="1424"/>
      <c r="B1288" s="1427"/>
      <c r="C1288" s="1430"/>
      <c r="D1288" s="1427"/>
      <c r="E1288" s="1427"/>
      <c r="F1288" s="1427"/>
      <c r="G1288" s="1427"/>
      <c r="H1288" s="1427"/>
      <c r="N1288" s="1727"/>
    </row>
    <row r="1289" spans="1:14" x14ac:dyDescent="0.2">
      <c r="A1289" s="1424"/>
      <c r="B1289" s="1427"/>
      <c r="C1289" s="1430"/>
      <c r="D1289" s="1427"/>
      <c r="E1289" s="1427"/>
      <c r="F1289" s="1427"/>
      <c r="G1289" s="1427"/>
      <c r="H1289" s="1427"/>
      <c r="N1289" s="1727"/>
    </row>
    <row r="1290" spans="1:14" x14ac:dyDescent="0.2">
      <c r="A1290" s="1424"/>
      <c r="B1290" s="1427"/>
      <c r="C1290" s="1430"/>
      <c r="D1290" s="1427"/>
      <c r="E1290" s="1427"/>
      <c r="F1290" s="1427"/>
      <c r="G1290" s="1427"/>
      <c r="H1290" s="1427"/>
      <c r="N1290" s="1727"/>
    </row>
    <row r="1291" spans="1:14" x14ac:dyDescent="0.2">
      <c r="A1291" s="1424"/>
      <c r="B1291" s="1427"/>
      <c r="C1291" s="1430"/>
      <c r="D1291" s="1427"/>
      <c r="E1291" s="1427"/>
      <c r="F1291" s="1427"/>
      <c r="G1291" s="1427"/>
      <c r="H1291" s="1427"/>
      <c r="N1291" s="1727"/>
    </row>
    <row r="1292" spans="1:14" x14ac:dyDescent="0.2">
      <c r="A1292" s="1424"/>
      <c r="B1292" s="1427"/>
      <c r="C1292" s="1430"/>
      <c r="D1292" s="1427"/>
      <c r="E1292" s="1427"/>
      <c r="F1292" s="1427"/>
      <c r="G1292" s="1427"/>
      <c r="H1292" s="1427"/>
      <c r="N1292" s="1727"/>
    </row>
    <row r="1293" spans="1:14" x14ac:dyDescent="0.2">
      <c r="A1293" s="1424"/>
      <c r="B1293" s="1427"/>
      <c r="C1293" s="1430"/>
      <c r="D1293" s="1427"/>
      <c r="E1293" s="1427"/>
      <c r="F1293" s="1427"/>
      <c r="G1293" s="1427"/>
      <c r="H1293" s="1427"/>
      <c r="N1293" s="1727"/>
    </row>
    <row r="1294" spans="1:14" x14ac:dyDescent="0.2">
      <c r="A1294" s="1424"/>
      <c r="B1294" s="1427"/>
      <c r="C1294" s="1430"/>
      <c r="D1294" s="1427"/>
      <c r="E1294" s="1427"/>
      <c r="F1294" s="1427"/>
      <c r="G1294" s="1427"/>
      <c r="H1294" s="1427"/>
      <c r="N1294" s="1727"/>
    </row>
    <row r="1295" spans="1:14" x14ac:dyDescent="0.2">
      <c r="A1295" s="1424"/>
      <c r="B1295" s="1427"/>
      <c r="C1295" s="1430"/>
      <c r="D1295" s="1427"/>
      <c r="E1295" s="1427"/>
      <c r="F1295" s="1427"/>
      <c r="G1295" s="1427"/>
      <c r="H1295" s="1427"/>
      <c r="N1295" s="1727"/>
    </row>
    <row r="1296" spans="1:14" x14ac:dyDescent="0.2">
      <c r="A1296" s="1424"/>
      <c r="B1296" s="1427"/>
      <c r="C1296" s="1430"/>
      <c r="D1296" s="1427"/>
      <c r="E1296" s="1427"/>
      <c r="F1296" s="1427"/>
      <c r="G1296" s="1427"/>
      <c r="H1296" s="1427"/>
      <c r="N1296" s="1727"/>
    </row>
    <row r="1297" spans="1:14" x14ac:dyDescent="0.2">
      <c r="A1297" s="1424"/>
      <c r="B1297" s="1427"/>
      <c r="C1297" s="1430"/>
      <c r="D1297" s="1427"/>
      <c r="E1297" s="1427"/>
      <c r="F1297" s="1427"/>
      <c r="G1297" s="1427"/>
      <c r="H1297" s="1427"/>
      <c r="N1297" s="1727"/>
    </row>
    <row r="1298" spans="1:14" x14ac:dyDescent="0.2">
      <c r="A1298" s="1424"/>
      <c r="B1298" s="1427"/>
      <c r="C1298" s="1430"/>
      <c r="D1298" s="1427"/>
      <c r="E1298" s="1427"/>
      <c r="F1298" s="1427"/>
      <c r="G1298" s="1427"/>
      <c r="H1298" s="1427"/>
      <c r="N1298" s="1727"/>
    </row>
    <row r="1299" spans="1:14" x14ac:dyDescent="0.2">
      <c r="A1299" s="1424"/>
      <c r="B1299" s="1427"/>
      <c r="C1299" s="1430"/>
      <c r="D1299" s="1427"/>
      <c r="E1299" s="1427"/>
      <c r="F1299" s="1427"/>
      <c r="G1299" s="1427"/>
      <c r="H1299" s="1427"/>
      <c r="N1299" s="1727"/>
    </row>
    <row r="1300" spans="1:14" x14ac:dyDescent="0.2">
      <c r="A1300" s="1424"/>
      <c r="B1300" s="1427"/>
      <c r="C1300" s="1430"/>
      <c r="D1300" s="1427"/>
      <c r="E1300" s="1427"/>
      <c r="F1300" s="1427"/>
      <c r="G1300" s="1427"/>
      <c r="H1300" s="1427"/>
      <c r="N1300" s="1727"/>
    </row>
    <row r="1301" spans="1:14" x14ac:dyDescent="0.2">
      <c r="A1301" s="1424"/>
      <c r="B1301" s="1427"/>
      <c r="C1301" s="1430"/>
      <c r="D1301" s="1427"/>
      <c r="E1301" s="1427"/>
      <c r="F1301" s="1427"/>
      <c r="G1301" s="1427"/>
      <c r="H1301" s="1427"/>
      <c r="N1301" s="1727"/>
    </row>
    <row r="1302" spans="1:14" x14ac:dyDescent="0.2">
      <c r="A1302" s="1424"/>
      <c r="B1302" s="1427"/>
      <c r="C1302" s="1430"/>
      <c r="D1302" s="1427"/>
      <c r="E1302" s="1427"/>
      <c r="F1302" s="1427"/>
      <c r="G1302" s="1427"/>
      <c r="H1302" s="1427"/>
      <c r="N1302" s="1727"/>
    </row>
    <row r="1303" spans="1:14" x14ac:dyDescent="0.2">
      <c r="A1303" s="1424"/>
      <c r="B1303" s="1427"/>
      <c r="C1303" s="1430"/>
      <c r="D1303" s="1427"/>
      <c r="E1303" s="1427"/>
      <c r="F1303" s="1427"/>
      <c r="G1303" s="1427"/>
      <c r="H1303" s="1427"/>
      <c r="N1303" s="1727"/>
    </row>
    <row r="1304" spans="1:14" x14ac:dyDescent="0.2">
      <c r="A1304" s="1424"/>
      <c r="B1304" s="1427"/>
      <c r="C1304" s="1430"/>
      <c r="D1304" s="1427"/>
      <c r="E1304" s="1427"/>
      <c r="F1304" s="1427"/>
      <c r="G1304" s="1427"/>
      <c r="H1304" s="1427"/>
      <c r="N1304" s="1727"/>
    </row>
    <row r="1305" spans="1:14" x14ac:dyDescent="0.2">
      <c r="A1305" s="1424"/>
      <c r="B1305" s="1427"/>
      <c r="C1305" s="1430"/>
      <c r="D1305" s="1427"/>
      <c r="E1305" s="1427"/>
      <c r="F1305" s="1427"/>
      <c r="G1305" s="1427"/>
      <c r="H1305" s="1427"/>
      <c r="N1305" s="1727"/>
    </row>
    <row r="1306" spans="1:14" x14ac:dyDescent="0.2">
      <c r="A1306" s="1424"/>
      <c r="B1306" s="1427"/>
      <c r="C1306" s="1430"/>
      <c r="D1306" s="1427"/>
      <c r="E1306" s="1427"/>
      <c r="F1306" s="1427"/>
      <c r="G1306" s="1427"/>
      <c r="H1306" s="1427"/>
      <c r="N1306" s="1727"/>
    </row>
    <row r="1307" spans="1:14" x14ac:dyDescent="0.2">
      <c r="A1307" s="1424"/>
      <c r="B1307" s="1427"/>
      <c r="C1307" s="1430"/>
      <c r="D1307" s="1427"/>
      <c r="E1307" s="1427"/>
      <c r="F1307" s="1427"/>
      <c r="G1307" s="1427"/>
      <c r="H1307" s="1427"/>
      <c r="N1307" s="1727"/>
    </row>
    <row r="1308" spans="1:14" x14ac:dyDescent="0.2">
      <c r="A1308" s="1424"/>
      <c r="B1308" s="1427"/>
      <c r="C1308" s="1430"/>
      <c r="D1308" s="1427"/>
      <c r="E1308" s="1427"/>
      <c r="F1308" s="1427"/>
      <c r="G1308" s="1427"/>
      <c r="H1308" s="1427"/>
      <c r="N1308" s="1727"/>
    </row>
    <row r="1309" spans="1:14" x14ac:dyDescent="0.2">
      <c r="A1309" s="1424"/>
      <c r="B1309" s="1427"/>
      <c r="C1309" s="1430"/>
      <c r="D1309" s="1427"/>
      <c r="E1309" s="1427"/>
      <c r="F1309" s="1427"/>
      <c r="G1309" s="1427"/>
      <c r="H1309" s="1427"/>
      <c r="N1309" s="1727"/>
    </row>
    <row r="1310" spans="1:14" x14ac:dyDescent="0.2">
      <c r="A1310" s="1424"/>
      <c r="B1310" s="1427"/>
      <c r="C1310" s="1430"/>
      <c r="D1310" s="1427"/>
      <c r="E1310" s="1427"/>
      <c r="F1310" s="1427"/>
      <c r="G1310" s="1427"/>
      <c r="H1310" s="1427"/>
      <c r="N1310" s="1727"/>
    </row>
    <row r="1311" spans="1:14" x14ac:dyDescent="0.2">
      <c r="A1311" s="1424"/>
      <c r="B1311" s="1427"/>
      <c r="C1311" s="1430"/>
      <c r="D1311" s="1427"/>
      <c r="E1311" s="1427"/>
      <c r="F1311" s="1427"/>
      <c r="G1311" s="1427"/>
      <c r="H1311" s="1427"/>
      <c r="N1311" s="1727"/>
    </row>
    <row r="1312" spans="1:14" x14ac:dyDescent="0.2">
      <c r="A1312" s="1424"/>
      <c r="B1312" s="1427"/>
      <c r="C1312" s="1430"/>
      <c r="D1312" s="1427"/>
      <c r="E1312" s="1427"/>
      <c r="F1312" s="1427"/>
      <c r="G1312" s="1427"/>
      <c r="H1312" s="1427"/>
      <c r="N1312" s="1727"/>
    </row>
    <row r="1313" spans="1:14" x14ac:dyDescent="0.2">
      <c r="A1313" s="1424"/>
      <c r="B1313" s="1427"/>
      <c r="C1313" s="1430"/>
      <c r="D1313" s="1427"/>
      <c r="E1313" s="1427"/>
      <c r="F1313" s="1427"/>
      <c r="G1313" s="1427"/>
      <c r="H1313" s="1427"/>
      <c r="N1313" s="1727"/>
    </row>
    <row r="1314" spans="1:14" x14ac:dyDescent="0.2">
      <c r="A1314" s="1424"/>
      <c r="B1314" s="1427"/>
      <c r="C1314" s="1430"/>
      <c r="D1314" s="1427"/>
      <c r="E1314" s="1427"/>
      <c r="F1314" s="1427"/>
      <c r="G1314" s="1427"/>
      <c r="H1314" s="1427"/>
      <c r="N1314" s="1727"/>
    </row>
    <row r="1315" spans="1:14" x14ac:dyDescent="0.2">
      <c r="A1315" s="1424"/>
      <c r="B1315" s="1427"/>
      <c r="C1315" s="1430"/>
      <c r="D1315" s="1427"/>
      <c r="E1315" s="1427"/>
      <c r="F1315" s="1427"/>
      <c r="G1315" s="1427"/>
      <c r="H1315" s="1427"/>
      <c r="N1315" s="1727"/>
    </row>
    <row r="1316" spans="1:14" x14ac:dyDescent="0.2">
      <c r="A1316" s="1424"/>
      <c r="B1316" s="1427"/>
      <c r="C1316" s="1430"/>
      <c r="D1316" s="1427"/>
      <c r="E1316" s="1427"/>
      <c r="F1316" s="1427"/>
      <c r="G1316" s="1427"/>
      <c r="H1316" s="1427"/>
      <c r="N1316" s="1727"/>
    </row>
    <row r="1317" spans="1:14" x14ac:dyDescent="0.2">
      <c r="A1317" s="1424"/>
      <c r="B1317" s="1427"/>
      <c r="C1317" s="1430"/>
      <c r="D1317" s="1427"/>
      <c r="E1317" s="1427"/>
      <c r="F1317" s="1427"/>
      <c r="G1317" s="1427"/>
      <c r="H1317" s="1427"/>
      <c r="N1317" s="1727"/>
    </row>
    <row r="1318" spans="1:14" x14ac:dyDescent="0.2">
      <c r="A1318" s="1424"/>
      <c r="B1318" s="1427"/>
      <c r="C1318" s="1430"/>
      <c r="D1318" s="1427"/>
      <c r="E1318" s="1427"/>
      <c r="F1318" s="1427"/>
      <c r="G1318" s="1427"/>
      <c r="H1318" s="1427"/>
      <c r="N1318" s="1727"/>
    </row>
    <row r="1319" spans="1:14" x14ac:dyDescent="0.2">
      <c r="A1319" s="1424"/>
      <c r="B1319" s="1427"/>
      <c r="C1319" s="1430"/>
      <c r="D1319" s="1427"/>
      <c r="E1319" s="1427"/>
      <c r="F1319" s="1427"/>
      <c r="G1319" s="1427"/>
      <c r="H1319" s="1427"/>
      <c r="N1319" s="1727"/>
    </row>
    <row r="1320" spans="1:14" x14ac:dyDescent="0.2">
      <c r="A1320" s="1424"/>
      <c r="B1320" s="1427"/>
      <c r="C1320" s="1430"/>
      <c r="D1320" s="1427"/>
      <c r="E1320" s="1427"/>
      <c r="F1320" s="1427"/>
      <c r="G1320" s="1427"/>
      <c r="H1320" s="1427"/>
      <c r="N1320" s="1727"/>
    </row>
    <row r="1321" spans="1:14" x14ac:dyDescent="0.2">
      <c r="A1321" s="1424"/>
      <c r="B1321" s="1427"/>
      <c r="C1321" s="1430"/>
      <c r="D1321" s="1427"/>
      <c r="E1321" s="1427"/>
      <c r="F1321" s="1427"/>
      <c r="G1321" s="1427"/>
      <c r="H1321" s="1427"/>
      <c r="N1321" s="1727"/>
    </row>
    <row r="1322" spans="1:14" x14ac:dyDescent="0.2">
      <c r="A1322" s="1424"/>
      <c r="B1322" s="1427"/>
      <c r="C1322" s="1430"/>
      <c r="D1322" s="1427"/>
      <c r="E1322" s="1427"/>
      <c r="F1322" s="1427"/>
      <c r="G1322" s="1427"/>
      <c r="H1322" s="1427"/>
      <c r="N1322" s="1727"/>
    </row>
    <row r="1323" spans="1:14" x14ac:dyDescent="0.2">
      <c r="A1323" s="1424"/>
      <c r="B1323" s="1427"/>
      <c r="C1323" s="1430"/>
      <c r="D1323" s="1427"/>
      <c r="E1323" s="1427"/>
      <c r="F1323" s="1427"/>
      <c r="G1323" s="1427"/>
      <c r="H1323" s="1427"/>
      <c r="N1323" s="1727"/>
    </row>
    <row r="1324" spans="1:14" x14ac:dyDescent="0.2">
      <c r="A1324" s="1424"/>
      <c r="B1324" s="1427"/>
      <c r="C1324" s="1430"/>
      <c r="D1324" s="1427"/>
      <c r="E1324" s="1427"/>
      <c r="F1324" s="1427"/>
      <c r="G1324" s="1427"/>
      <c r="H1324" s="1427"/>
      <c r="N1324" s="1727"/>
    </row>
    <row r="1325" spans="1:14" x14ac:dyDescent="0.2">
      <c r="A1325" s="1424"/>
      <c r="B1325" s="1427"/>
      <c r="C1325" s="1430"/>
      <c r="D1325" s="1427"/>
      <c r="E1325" s="1427"/>
      <c r="F1325" s="1427"/>
      <c r="G1325" s="1427"/>
      <c r="H1325" s="1427"/>
      <c r="N1325" s="1727"/>
    </row>
    <row r="1326" spans="1:14" x14ac:dyDescent="0.2">
      <c r="A1326" s="1424"/>
      <c r="B1326" s="1427"/>
      <c r="C1326" s="1430"/>
      <c r="D1326" s="1427"/>
      <c r="E1326" s="1427"/>
      <c r="F1326" s="1427"/>
      <c r="G1326" s="1427"/>
      <c r="H1326" s="1427"/>
      <c r="N1326" s="1727"/>
    </row>
    <row r="1327" spans="1:14" x14ac:dyDescent="0.2">
      <c r="A1327" s="1424"/>
      <c r="B1327" s="1427"/>
      <c r="C1327" s="1430"/>
      <c r="D1327" s="1427"/>
      <c r="E1327" s="1427"/>
      <c r="F1327" s="1427"/>
      <c r="G1327" s="1427"/>
      <c r="H1327" s="1427"/>
      <c r="N1327" s="1727"/>
    </row>
    <row r="1328" spans="1:14" x14ac:dyDescent="0.2">
      <c r="A1328" s="1424"/>
      <c r="B1328" s="1427"/>
      <c r="C1328" s="1430"/>
      <c r="D1328" s="1427"/>
      <c r="E1328" s="1427"/>
      <c r="F1328" s="1427"/>
      <c r="G1328" s="1427"/>
      <c r="H1328" s="1427"/>
      <c r="N1328" s="1727"/>
    </row>
    <row r="1329" spans="1:14" x14ac:dyDescent="0.2">
      <c r="A1329" s="1424"/>
      <c r="B1329" s="1427"/>
      <c r="C1329" s="1430"/>
      <c r="D1329" s="1427"/>
      <c r="E1329" s="1427"/>
      <c r="F1329" s="1427"/>
      <c r="G1329" s="1427"/>
      <c r="H1329" s="1427"/>
      <c r="N1329" s="1727"/>
    </row>
    <row r="1330" spans="1:14" x14ac:dyDescent="0.2">
      <c r="A1330" s="1424"/>
      <c r="B1330" s="1427"/>
      <c r="C1330" s="1430"/>
      <c r="D1330" s="1427"/>
      <c r="E1330" s="1427"/>
      <c r="F1330" s="1427"/>
      <c r="G1330" s="1427"/>
      <c r="H1330" s="1427"/>
      <c r="N1330" s="1727"/>
    </row>
    <row r="1331" spans="1:14" x14ac:dyDescent="0.2">
      <c r="A1331" s="1424"/>
      <c r="B1331" s="1427"/>
      <c r="C1331" s="1430"/>
      <c r="D1331" s="1427"/>
      <c r="E1331" s="1427"/>
      <c r="F1331" s="1427"/>
      <c r="G1331" s="1427"/>
      <c r="H1331" s="1427"/>
      <c r="N1331" s="1727"/>
    </row>
    <row r="1332" spans="1:14" x14ac:dyDescent="0.2">
      <c r="A1332" s="1424"/>
      <c r="B1332" s="1427"/>
      <c r="C1332" s="1430"/>
      <c r="D1332" s="1427"/>
      <c r="E1332" s="1427"/>
      <c r="F1332" s="1427"/>
      <c r="G1332" s="1427"/>
      <c r="H1332" s="1427"/>
      <c r="N1332" s="1727"/>
    </row>
    <row r="1333" spans="1:14" x14ac:dyDescent="0.2">
      <c r="A1333" s="1424"/>
      <c r="B1333" s="1427"/>
      <c r="C1333" s="1430"/>
      <c r="D1333" s="1427"/>
      <c r="E1333" s="1427"/>
      <c r="F1333" s="1427"/>
      <c r="G1333" s="1427"/>
      <c r="H1333" s="1427"/>
      <c r="N1333" s="1727"/>
    </row>
    <row r="1334" spans="1:14" x14ac:dyDescent="0.2">
      <c r="A1334" s="1424"/>
      <c r="B1334" s="1427"/>
      <c r="C1334" s="1430"/>
      <c r="D1334" s="1427"/>
      <c r="E1334" s="1427"/>
      <c r="F1334" s="1427"/>
      <c r="G1334" s="1427"/>
      <c r="H1334" s="1427"/>
      <c r="N1334" s="1727"/>
    </row>
    <row r="1335" spans="1:14" x14ac:dyDescent="0.2">
      <c r="A1335" s="1424"/>
      <c r="B1335" s="1427"/>
      <c r="C1335" s="1430"/>
      <c r="D1335" s="1427"/>
      <c r="E1335" s="1427"/>
      <c r="F1335" s="1427"/>
      <c r="G1335" s="1427"/>
      <c r="H1335" s="1427"/>
      <c r="N1335" s="1727"/>
    </row>
    <row r="1336" spans="1:14" x14ac:dyDescent="0.2">
      <c r="A1336" s="1424"/>
      <c r="B1336" s="1427"/>
      <c r="C1336" s="1430"/>
      <c r="D1336" s="1427"/>
      <c r="E1336" s="1427"/>
      <c r="F1336" s="1427"/>
      <c r="G1336" s="1427"/>
      <c r="H1336" s="1427"/>
      <c r="N1336" s="1727"/>
    </row>
    <row r="1337" spans="1:14" x14ac:dyDescent="0.2">
      <c r="A1337" s="1424"/>
      <c r="B1337" s="1427"/>
      <c r="C1337" s="1430"/>
      <c r="D1337" s="1427"/>
      <c r="E1337" s="1427"/>
      <c r="F1337" s="1427"/>
      <c r="G1337" s="1427"/>
      <c r="H1337" s="1427"/>
      <c r="N1337" s="1727"/>
    </row>
    <row r="1338" spans="1:14" x14ac:dyDescent="0.2">
      <c r="A1338" s="1424"/>
      <c r="B1338" s="1427"/>
      <c r="C1338" s="1430"/>
      <c r="D1338" s="1427"/>
      <c r="E1338" s="1427"/>
      <c r="F1338" s="1427"/>
      <c r="G1338" s="1427"/>
      <c r="H1338" s="1427"/>
      <c r="N1338" s="1727"/>
    </row>
    <row r="1339" spans="1:14" x14ac:dyDescent="0.2">
      <c r="A1339" s="1424"/>
      <c r="B1339" s="1427"/>
      <c r="C1339" s="1430"/>
      <c r="D1339" s="1427"/>
      <c r="E1339" s="1427"/>
      <c r="F1339" s="1427"/>
      <c r="G1339" s="1427"/>
      <c r="H1339" s="1427"/>
      <c r="N1339" s="1727"/>
    </row>
    <row r="1340" spans="1:14" x14ac:dyDescent="0.2">
      <c r="A1340" s="1424"/>
      <c r="B1340" s="1427"/>
      <c r="C1340" s="1430"/>
      <c r="D1340" s="1427"/>
      <c r="E1340" s="1427"/>
      <c r="F1340" s="1427"/>
      <c r="G1340" s="1427"/>
      <c r="H1340" s="1427"/>
      <c r="N1340" s="1727"/>
    </row>
    <row r="1341" spans="1:14" x14ac:dyDescent="0.2">
      <c r="A1341" s="1424"/>
      <c r="B1341" s="1427"/>
      <c r="C1341" s="1430"/>
      <c r="D1341" s="1427"/>
      <c r="E1341" s="1427"/>
      <c r="F1341" s="1427"/>
      <c r="G1341" s="1427"/>
      <c r="H1341" s="1427"/>
      <c r="N1341" s="1727"/>
    </row>
    <row r="1342" spans="1:14" x14ac:dyDescent="0.2">
      <c r="A1342" s="1424"/>
      <c r="B1342" s="1427"/>
      <c r="C1342" s="1430"/>
      <c r="D1342" s="1427"/>
      <c r="E1342" s="1427"/>
      <c r="F1342" s="1427"/>
      <c r="G1342" s="1427"/>
      <c r="H1342" s="1427"/>
      <c r="N1342" s="1727"/>
    </row>
    <row r="1343" spans="1:14" x14ac:dyDescent="0.2">
      <c r="A1343" s="1424"/>
      <c r="B1343" s="1427"/>
      <c r="C1343" s="1430"/>
      <c r="D1343" s="1427"/>
      <c r="E1343" s="1427"/>
      <c r="F1343" s="1427"/>
      <c r="G1343" s="1427"/>
      <c r="H1343" s="1427"/>
      <c r="N1343" s="1727"/>
    </row>
    <row r="1344" spans="1:14" x14ac:dyDescent="0.2">
      <c r="A1344" s="1424"/>
      <c r="B1344" s="1427"/>
      <c r="C1344" s="1430"/>
      <c r="D1344" s="1427"/>
      <c r="E1344" s="1427"/>
      <c r="F1344" s="1427"/>
      <c r="G1344" s="1427"/>
      <c r="H1344" s="1427"/>
      <c r="N1344" s="1727"/>
    </row>
    <row r="1345" spans="1:14" x14ac:dyDescent="0.2">
      <c r="A1345" s="1424"/>
      <c r="B1345" s="1427"/>
      <c r="C1345" s="1430"/>
      <c r="D1345" s="1427"/>
      <c r="E1345" s="1427"/>
      <c r="F1345" s="1427"/>
      <c r="G1345" s="1427"/>
      <c r="H1345" s="1427"/>
      <c r="N1345" s="1727"/>
    </row>
    <row r="1346" spans="1:14" x14ac:dyDescent="0.2">
      <c r="A1346" s="1424"/>
      <c r="B1346" s="1427"/>
      <c r="C1346" s="1430"/>
      <c r="D1346" s="1427"/>
      <c r="E1346" s="1427"/>
      <c r="F1346" s="1427"/>
      <c r="G1346" s="1427"/>
      <c r="H1346" s="1427"/>
      <c r="N1346" s="1727"/>
    </row>
    <row r="1347" spans="1:14" x14ac:dyDescent="0.2">
      <c r="A1347" s="1424"/>
      <c r="B1347" s="1427"/>
      <c r="C1347" s="1430"/>
      <c r="D1347" s="1427"/>
      <c r="E1347" s="1427"/>
      <c r="F1347" s="1427"/>
      <c r="G1347" s="1427"/>
      <c r="H1347" s="1427"/>
      <c r="N1347" s="1727"/>
    </row>
    <row r="1348" spans="1:14" x14ac:dyDescent="0.2">
      <c r="A1348" s="1424"/>
      <c r="B1348" s="1427"/>
      <c r="C1348" s="1430"/>
      <c r="D1348" s="1427"/>
      <c r="E1348" s="1427"/>
      <c r="F1348" s="1427"/>
      <c r="G1348" s="1427"/>
      <c r="H1348" s="1427"/>
      <c r="N1348" s="1727"/>
    </row>
    <row r="1349" spans="1:14" x14ac:dyDescent="0.2">
      <c r="A1349" s="1424"/>
      <c r="B1349" s="1427"/>
      <c r="C1349" s="1430"/>
      <c r="D1349" s="1427"/>
      <c r="E1349" s="1427"/>
      <c r="F1349" s="1427"/>
      <c r="G1349" s="1427"/>
      <c r="H1349" s="1427"/>
      <c r="N1349" s="1727"/>
    </row>
    <row r="1350" spans="1:14" x14ac:dyDescent="0.2">
      <c r="A1350" s="1424"/>
      <c r="B1350" s="1427"/>
      <c r="C1350" s="1430"/>
      <c r="D1350" s="1427"/>
      <c r="E1350" s="1427"/>
      <c r="F1350" s="1427"/>
      <c r="G1350" s="1427"/>
      <c r="H1350" s="1427"/>
      <c r="N1350" s="1727"/>
    </row>
    <row r="1351" spans="1:14" x14ac:dyDescent="0.2">
      <c r="A1351" s="1424"/>
      <c r="B1351" s="1427"/>
      <c r="C1351" s="1430"/>
      <c r="D1351" s="1427"/>
      <c r="E1351" s="1427"/>
      <c r="F1351" s="1427"/>
      <c r="G1351" s="1427"/>
      <c r="H1351" s="1427"/>
      <c r="N1351" s="1727"/>
    </row>
    <row r="1352" spans="1:14" x14ac:dyDescent="0.2">
      <c r="A1352" s="1424"/>
      <c r="B1352" s="1427"/>
      <c r="C1352" s="1430"/>
      <c r="D1352" s="1427"/>
      <c r="E1352" s="1427"/>
      <c r="F1352" s="1427"/>
      <c r="G1352" s="1427"/>
      <c r="H1352" s="1427"/>
      <c r="N1352" s="1727"/>
    </row>
    <row r="1353" spans="1:14" x14ac:dyDescent="0.2">
      <c r="A1353" s="1424"/>
      <c r="B1353" s="1427"/>
      <c r="C1353" s="1430"/>
      <c r="D1353" s="1427"/>
      <c r="E1353" s="1427"/>
      <c r="F1353" s="1427"/>
      <c r="G1353" s="1427"/>
      <c r="H1353" s="1427"/>
      <c r="N1353" s="1727"/>
    </row>
    <row r="1354" spans="1:14" x14ac:dyDescent="0.2">
      <c r="A1354" s="1424"/>
      <c r="B1354" s="1427"/>
      <c r="C1354" s="1430"/>
      <c r="D1354" s="1427"/>
      <c r="E1354" s="1427"/>
      <c r="F1354" s="1427"/>
      <c r="G1354" s="1427"/>
      <c r="H1354" s="1427"/>
      <c r="N1354" s="1727"/>
    </row>
    <row r="1355" spans="1:14" x14ac:dyDescent="0.2">
      <c r="A1355" s="1424"/>
      <c r="B1355" s="1427"/>
      <c r="C1355" s="1430"/>
      <c r="D1355" s="1427"/>
      <c r="E1355" s="1427"/>
      <c r="F1355" s="1427"/>
      <c r="G1355" s="1427"/>
      <c r="H1355" s="1427"/>
      <c r="N1355" s="1727"/>
    </row>
    <row r="1356" spans="1:14" x14ac:dyDescent="0.2">
      <c r="A1356" s="1424"/>
      <c r="B1356" s="1427"/>
      <c r="C1356" s="1430"/>
      <c r="D1356" s="1427"/>
      <c r="E1356" s="1427"/>
      <c r="F1356" s="1427"/>
      <c r="G1356" s="1427"/>
      <c r="H1356" s="1427"/>
      <c r="N1356" s="1727"/>
    </row>
    <row r="1357" spans="1:14" x14ac:dyDescent="0.2">
      <c r="A1357" s="1424"/>
      <c r="B1357" s="1427"/>
      <c r="C1357" s="1430"/>
      <c r="D1357" s="1427"/>
      <c r="E1357" s="1427"/>
      <c r="F1357" s="1427"/>
      <c r="G1357" s="1427"/>
      <c r="H1357" s="1427"/>
      <c r="N1357" s="1727"/>
    </row>
    <row r="1358" spans="1:14" x14ac:dyDescent="0.2">
      <c r="A1358" s="1424"/>
      <c r="B1358" s="1427"/>
      <c r="C1358" s="1430"/>
      <c r="D1358" s="1427"/>
      <c r="E1358" s="1427"/>
      <c r="F1358" s="1427"/>
      <c r="G1358" s="1427"/>
      <c r="H1358" s="1427"/>
      <c r="N1358" s="1727"/>
    </row>
    <row r="1359" spans="1:14" x14ac:dyDescent="0.2">
      <c r="A1359" s="1424"/>
      <c r="B1359" s="1427"/>
      <c r="C1359" s="1430"/>
      <c r="D1359" s="1427"/>
      <c r="E1359" s="1427"/>
      <c r="F1359" s="1427"/>
      <c r="G1359" s="1427"/>
      <c r="H1359" s="1427"/>
      <c r="N1359" s="1727"/>
    </row>
    <row r="1360" spans="1:14" x14ac:dyDescent="0.2">
      <c r="A1360" s="1424"/>
      <c r="B1360" s="1427"/>
      <c r="C1360" s="1430"/>
      <c r="D1360" s="1427"/>
      <c r="E1360" s="1427"/>
      <c r="F1360" s="1427"/>
      <c r="G1360" s="1427"/>
      <c r="H1360" s="1427"/>
      <c r="N1360" s="1727"/>
    </row>
    <row r="1361" spans="1:14" x14ac:dyDescent="0.2">
      <c r="A1361" s="1424"/>
      <c r="B1361" s="1427"/>
      <c r="C1361" s="1430"/>
      <c r="D1361" s="1427"/>
      <c r="E1361" s="1427"/>
      <c r="F1361" s="1427"/>
      <c r="G1361" s="1427"/>
      <c r="H1361" s="1427"/>
      <c r="N1361" s="1727"/>
    </row>
    <row r="1362" spans="1:14" x14ac:dyDescent="0.2">
      <c r="A1362" s="1424"/>
      <c r="B1362" s="1427"/>
      <c r="C1362" s="1430"/>
      <c r="D1362" s="1427"/>
      <c r="E1362" s="1427"/>
      <c r="F1362" s="1427"/>
      <c r="G1362" s="1427"/>
      <c r="H1362" s="1427"/>
      <c r="N1362" s="1727"/>
    </row>
    <row r="1363" spans="1:14" x14ac:dyDescent="0.2">
      <c r="A1363" s="1424"/>
      <c r="B1363" s="1427"/>
      <c r="C1363" s="1430"/>
      <c r="D1363" s="1427"/>
      <c r="E1363" s="1427"/>
      <c r="F1363" s="1427"/>
      <c r="G1363" s="1427"/>
      <c r="H1363" s="1427"/>
      <c r="N1363" s="1727"/>
    </row>
    <row r="1364" spans="1:14" x14ac:dyDescent="0.2">
      <c r="A1364" s="1424"/>
      <c r="B1364" s="1427"/>
      <c r="C1364" s="1430"/>
      <c r="D1364" s="1427"/>
      <c r="E1364" s="1427"/>
      <c r="F1364" s="1427"/>
      <c r="G1364" s="1427"/>
      <c r="H1364" s="1427"/>
      <c r="N1364" s="1727"/>
    </row>
    <row r="1365" spans="1:14" x14ac:dyDescent="0.2">
      <c r="A1365" s="1424"/>
      <c r="B1365" s="1427"/>
      <c r="C1365" s="1430"/>
      <c r="D1365" s="1427"/>
      <c r="E1365" s="1427"/>
      <c r="F1365" s="1427"/>
      <c r="G1365" s="1427"/>
      <c r="H1365" s="1427"/>
      <c r="N1365" s="1727"/>
    </row>
    <row r="1366" spans="1:14" x14ac:dyDescent="0.2">
      <c r="A1366" s="1424"/>
      <c r="B1366" s="1427"/>
      <c r="C1366" s="1430"/>
      <c r="D1366" s="1427"/>
      <c r="E1366" s="1427"/>
      <c r="F1366" s="1427"/>
      <c r="G1366" s="1427"/>
      <c r="H1366" s="1427"/>
      <c r="N1366" s="1727"/>
    </row>
    <row r="1367" spans="1:14" x14ac:dyDescent="0.2">
      <c r="A1367" s="1424"/>
      <c r="B1367" s="1427"/>
      <c r="C1367" s="1430"/>
      <c r="D1367" s="1427"/>
      <c r="E1367" s="1427"/>
      <c r="F1367" s="1427"/>
      <c r="G1367" s="1427"/>
      <c r="H1367" s="1427"/>
      <c r="N1367" s="1727"/>
    </row>
    <row r="1368" spans="1:14" x14ac:dyDescent="0.2">
      <c r="A1368" s="1424"/>
      <c r="B1368" s="1427"/>
      <c r="C1368" s="1430"/>
      <c r="D1368" s="1427"/>
      <c r="E1368" s="1427"/>
      <c r="F1368" s="1427"/>
      <c r="G1368" s="1427"/>
      <c r="H1368" s="1427"/>
      <c r="N1368" s="1727"/>
    </row>
    <row r="1369" spans="1:14" x14ac:dyDescent="0.2">
      <c r="A1369" s="1424"/>
      <c r="B1369" s="1427"/>
      <c r="C1369" s="1430"/>
      <c r="D1369" s="1427"/>
      <c r="E1369" s="1427"/>
      <c r="F1369" s="1427"/>
      <c r="G1369" s="1427"/>
      <c r="H1369" s="1427"/>
      <c r="N1369" s="1727"/>
    </row>
    <row r="1370" spans="1:14" x14ac:dyDescent="0.2">
      <c r="A1370" s="1424"/>
      <c r="B1370" s="1427"/>
      <c r="C1370" s="1430"/>
      <c r="D1370" s="1427"/>
      <c r="E1370" s="1427"/>
      <c r="F1370" s="1427"/>
      <c r="G1370" s="1427"/>
      <c r="H1370" s="1427"/>
      <c r="N1370" s="1727"/>
    </row>
    <row r="1371" spans="1:14" x14ac:dyDescent="0.2">
      <c r="A1371" s="1424"/>
      <c r="B1371" s="1427"/>
      <c r="C1371" s="1430"/>
      <c r="D1371" s="1427"/>
      <c r="E1371" s="1427"/>
      <c r="F1371" s="1427"/>
      <c r="G1371" s="1427"/>
      <c r="H1371" s="1427"/>
      <c r="N1371" s="1727"/>
    </row>
    <row r="1372" spans="1:14" x14ac:dyDescent="0.2">
      <c r="A1372" s="1424"/>
      <c r="B1372" s="1427"/>
      <c r="C1372" s="1430"/>
      <c r="D1372" s="1427"/>
      <c r="E1372" s="1427"/>
      <c r="F1372" s="1427"/>
      <c r="G1372" s="1427"/>
      <c r="H1372" s="1427"/>
      <c r="N1372" s="1727"/>
    </row>
    <row r="1373" spans="1:14" x14ac:dyDescent="0.2">
      <c r="A1373" s="1424"/>
      <c r="B1373" s="1427"/>
      <c r="C1373" s="1430"/>
      <c r="D1373" s="1427"/>
      <c r="E1373" s="1427"/>
      <c r="F1373" s="1427"/>
      <c r="G1373" s="1427"/>
      <c r="H1373" s="1427"/>
      <c r="N1373" s="1727"/>
    </row>
    <row r="1374" spans="1:14" x14ac:dyDescent="0.2">
      <c r="A1374" s="1424"/>
      <c r="B1374" s="1427"/>
      <c r="C1374" s="1430"/>
      <c r="D1374" s="1427"/>
      <c r="E1374" s="1427"/>
      <c r="F1374" s="1427"/>
      <c r="G1374" s="1427"/>
      <c r="H1374" s="1427"/>
      <c r="N1374" s="1727"/>
    </row>
    <row r="1375" spans="1:14" x14ac:dyDescent="0.2">
      <c r="A1375" s="1424"/>
      <c r="B1375" s="1427"/>
      <c r="C1375" s="1430"/>
      <c r="D1375" s="1427"/>
      <c r="E1375" s="1427"/>
      <c r="F1375" s="1427"/>
      <c r="G1375" s="1427"/>
      <c r="H1375" s="1427"/>
      <c r="N1375" s="1727"/>
    </row>
    <row r="1376" spans="1:14" x14ac:dyDescent="0.2">
      <c r="A1376" s="1424"/>
      <c r="B1376" s="1427"/>
      <c r="C1376" s="1430"/>
      <c r="D1376" s="1427"/>
      <c r="E1376" s="1427"/>
      <c r="F1376" s="1427"/>
      <c r="G1376" s="1427"/>
      <c r="H1376" s="1427"/>
      <c r="N1376" s="1727"/>
    </row>
    <row r="1377" spans="1:14" x14ac:dyDescent="0.2">
      <c r="A1377" s="1424"/>
      <c r="B1377" s="1427"/>
      <c r="C1377" s="1430"/>
      <c r="D1377" s="1427"/>
      <c r="E1377" s="1427"/>
      <c r="F1377" s="1427"/>
      <c r="G1377" s="1427"/>
      <c r="H1377" s="1427"/>
      <c r="N1377" s="1727"/>
    </row>
    <row r="1378" spans="1:14" x14ac:dyDescent="0.2">
      <c r="A1378" s="1424"/>
      <c r="B1378" s="1427"/>
      <c r="C1378" s="1430"/>
      <c r="D1378" s="1427"/>
      <c r="E1378" s="1427"/>
      <c r="F1378" s="1427"/>
      <c r="G1378" s="1427"/>
      <c r="H1378" s="1427"/>
      <c r="N1378" s="1727"/>
    </row>
    <row r="1379" spans="1:14" x14ac:dyDescent="0.2">
      <c r="A1379" s="1424"/>
      <c r="B1379" s="1427"/>
      <c r="C1379" s="1430"/>
      <c r="D1379" s="1427"/>
      <c r="E1379" s="1427"/>
      <c r="F1379" s="1427"/>
      <c r="G1379" s="1427"/>
      <c r="H1379" s="1427"/>
      <c r="N1379" s="1727"/>
    </row>
    <row r="1380" spans="1:14" x14ac:dyDescent="0.2">
      <c r="A1380" s="1424"/>
      <c r="B1380" s="1427"/>
      <c r="C1380" s="1430"/>
      <c r="D1380" s="1427"/>
      <c r="E1380" s="1427"/>
      <c r="F1380" s="1427"/>
      <c r="G1380" s="1427"/>
      <c r="H1380" s="1427"/>
      <c r="N1380" s="1727"/>
    </row>
    <row r="1381" spans="1:14" x14ac:dyDescent="0.2">
      <c r="A1381" s="1424"/>
      <c r="B1381" s="1427"/>
      <c r="C1381" s="1430"/>
      <c r="D1381" s="1427"/>
      <c r="E1381" s="1427"/>
      <c r="F1381" s="1427"/>
      <c r="G1381" s="1427"/>
      <c r="H1381" s="1427"/>
      <c r="N1381" s="1727"/>
    </row>
    <row r="1382" spans="1:14" x14ac:dyDescent="0.2">
      <c r="A1382" s="1424"/>
      <c r="B1382" s="1427"/>
      <c r="C1382" s="1430"/>
      <c r="D1382" s="1427"/>
      <c r="E1382" s="1427"/>
      <c r="F1382" s="1427"/>
      <c r="G1382" s="1427"/>
      <c r="H1382" s="1427"/>
      <c r="N1382" s="1727"/>
    </row>
    <row r="1383" spans="1:14" x14ac:dyDescent="0.2">
      <c r="A1383" s="1424"/>
      <c r="B1383" s="1427"/>
      <c r="C1383" s="1430"/>
      <c r="D1383" s="1427"/>
      <c r="E1383" s="1427"/>
      <c r="F1383" s="1427"/>
      <c r="G1383" s="1427"/>
      <c r="H1383" s="1427"/>
      <c r="N1383" s="1727"/>
    </row>
    <row r="1384" spans="1:14" x14ac:dyDescent="0.2">
      <c r="A1384" s="1424"/>
      <c r="B1384" s="1427"/>
      <c r="C1384" s="1430"/>
      <c r="D1384" s="1427"/>
      <c r="E1384" s="1427"/>
      <c r="F1384" s="1427"/>
      <c r="G1384" s="1427"/>
      <c r="H1384" s="1427"/>
      <c r="N1384" s="1727"/>
    </row>
    <row r="1385" spans="1:14" x14ac:dyDescent="0.2">
      <c r="A1385" s="1424"/>
      <c r="B1385" s="1427"/>
      <c r="C1385" s="1430"/>
      <c r="D1385" s="1427"/>
      <c r="E1385" s="1427"/>
      <c r="F1385" s="1427"/>
      <c r="G1385" s="1427"/>
      <c r="H1385" s="1427"/>
      <c r="N1385" s="1727"/>
    </row>
    <row r="1386" spans="1:14" x14ac:dyDescent="0.2">
      <c r="A1386" s="1424"/>
      <c r="B1386" s="1427"/>
      <c r="C1386" s="1430"/>
      <c r="D1386" s="1427"/>
      <c r="E1386" s="1427"/>
      <c r="F1386" s="1427"/>
      <c r="G1386" s="1427"/>
      <c r="H1386" s="1427"/>
      <c r="N1386" s="1727"/>
    </row>
    <row r="1387" spans="1:14" x14ac:dyDescent="0.2">
      <c r="A1387" s="1424"/>
      <c r="B1387" s="1427"/>
      <c r="C1387" s="1430"/>
      <c r="D1387" s="1427"/>
      <c r="E1387" s="1427"/>
      <c r="F1387" s="1427"/>
      <c r="G1387" s="1427"/>
      <c r="H1387" s="1427"/>
      <c r="N1387" s="1727"/>
    </row>
    <row r="1388" spans="1:14" x14ac:dyDescent="0.2">
      <c r="A1388" s="1424"/>
      <c r="B1388" s="1427"/>
      <c r="C1388" s="1430"/>
      <c r="D1388" s="1427"/>
      <c r="E1388" s="1427"/>
      <c r="F1388" s="1427"/>
      <c r="G1388" s="1427"/>
      <c r="H1388" s="1427"/>
      <c r="N1388" s="1727"/>
    </row>
    <row r="1389" spans="1:14" x14ac:dyDescent="0.2">
      <c r="A1389" s="1424"/>
      <c r="B1389" s="1427"/>
      <c r="C1389" s="1430"/>
      <c r="D1389" s="1427"/>
      <c r="E1389" s="1427"/>
      <c r="F1389" s="1427"/>
      <c r="G1389" s="1427"/>
      <c r="H1389" s="1427"/>
      <c r="N1389" s="1727"/>
    </row>
    <row r="1390" spans="1:14" x14ac:dyDescent="0.2">
      <c r="A1390" s="1424"/>
      <c r="B1390" s="1427"/>
      <c r="C1390" s="1430"/>
      <c r="D1390" s="1427"/>
      <c r="E1390" s="1427"/>
      <c r="F1390" s="1427"/>
      <c r="G1390" s="1427"/>
      <c r="H1390" s="1427"/>
      <c r="N1390" s="1727"/>
    </row>
    <row r="1391" spans="1:14" x14ac:dyDescent="0.2">
      <c r="A1391" s="1424"/>
      <c r="B1391" s="1427"/>
      <c r="C1391" s="1430"/>
      <c r="D1391" s="1427"/>
      <c r="E1391" s="1427"/>
      <c r="F1391" s="1427"/>
      <c r="G1391" s="1427"/>
      <c r="H1391" s="1427"/>
      <c r="N1391" s="1727"/>
    </row>
    <row r="1392" spans="1:14" x14ac:dyDescent="0.2">
      <c r="A1392" s="1424"/>
      <c r="B1392" s="1427"/>
      <c r="C1392" s="1430"/>
      <c r="D1392" s="1427"/>
      <c r="E1392" s="1427"/>
      <c r="F1392" s="1427"/>
      <c r="G1392" s="1427"/>
      <c r="H1392" s="1427"/>
      <c r="N1392" s="1727"/>
    </row>
    <row r="1393" spans="1:14" x14ac:dyDescent="0.2">
      <c r="A1393" s="1424"/>
      <c r="B1393" s="1427"/>
      <c r="C1393" s="1430"/>
      <c r="D1393" s="1427"/>
      <c r="E1393" s="1427"/>
      <c r="F1393" s="1427"/>
      <c r="G1393" s="1427"/>
      <c r="H1393" s="1427"/>
      <c r="N1393" s="1727"/>
    </row>
    <row r="1394" spans="1:14" x14ac:dyDescent="0.2">
      <c r="A1394" s="1424"/>
      <c r="B1394" s="1427"/>
      <c r="C1394" s="1430"/>
      <c r="D1394" s="1427"/>
      <c r="E1394" s="1427"/>
      <c r="F1394" s="1427"/>
      <c r="G1394" s="1427"/>
      <c r="H1394" s="1427"/>
      <c r="N1394" s="1727"/>
    </row>
    <row r="1395" spans="1:14" x14ac:dyDescent="0.2">
      <c r="A1395" s="1424"/>
      <c r="B1395" s="1427"/>
      <c r="C1395" s="1430"/>
      <c r="D1395" s="1427"/>
      <c r="E1395" s="1427"/>
      <c r="F1395" s="1427"/>
      <c r="G1395" s="1427"/>
      <c r="H1395" s="1427"/>
      <c r="N1395" s="1727"/>
    </row>
    <row r="1396" spans="1:14" x14ac:dyDescent="0.2">
      <c r="A1396" s="1424"/>
      <c r="B1396" s="1427"/>
      <c r="C1396" s="1430"/>
      <c r="D1396" s="1427"/>
      <c r="E1396" s="1427"/>
      <c r="F1396" s="1427"/>
      <c r="G1396" s="1427"/>
      <c r="H1396" s="1427"/>
      <c r="N1396" s="1727"/>
    </row>
    <row r="1397" spans="1:14" x14ac:dyDescent="0.2">
      <c r="A1397" s="1424"/>
      <c r="B1397" s="1427"/>
      <c r="C1397" s="1430"/>
      <c r="D1397" s="1427"/>
      <c r="E1397" s="1427"/>
      <c r="F1397" s="1427"/>
      <c r="G1397" s="1427"/>
      <c r="H1397" s="1427"/>
      <c r="N1397" s="1727"/>
    </row>
    <row r="1398" spans="1:14" x14ac:dyDescent="0.2">
      <c r="A1398" s="1424"/>
      <c r="B1398" s="1427"/>
      <c r="C1398" s="1430"/>
      <c r="D1398" s="1427"/>
      <c r="E1398" s="1427"/>
      <c r="F1398" s="1427"/>
      <c r="G1398" s="1427"/>
      <c r="H1398" s="1427"/>
      <c r="N1398" s="1727"/>
    </row>
    <row r="1399" spans="1:14" x14ac:dyDescent="0.2">
      <c r="A1399" s="1424"/>
      <c r="B1399" s="1427"/>
      <c r="C1399" s="1430"/>
      <c r="D1399" s="1427"/>
      <c r="E1399" s="1427"/>
      <c r="F1399" s="1427"/>
      <c r="G1399" s="1427"/>
      <c r="H1399" s="1427"/>
      <c r="N1399" s="1727"/>
    </row>
    <row r="1400" spans="1:14" x14ac:dyDescent="0.2">
      <c r="A1400" s="1424"/>
      <c r="B1400" s="1427"/>
      <c r="C1400" s="1430"/>
      <c r="D1400" s="1427"/>
      <c r="E1400" s="1427"/>
      <c r="F1400" s="1427"/>
      <c r="G1400" s="1427"/>
      <c r="H1400" s="1427"/>
      <c r="N1400" s="1727"/>
    </row>
    <row r="1401" spans="1:14" x14ac:dyDescent="0.2">
      <c r="A1401" s="1424"/>
      <c r="B1401" s="1427"/>
      <c r="C1401" s="1430"/>
      <c r="D1401" s="1427"/>
      <c r="E1401" s="1427"/>
      <c r="F1401" s="1427"/>
      <c r="G1401" s="1427"/>
      <c r="H1401" s="1427"/>
      <c r="N1401" s="1727"/>
    </row>
    <row r="1402" spans="1:14" x14ac:dyDescent="0.2">
      <c r="A1402" s="1424"/>
      <c r="B1402" s="1427"/>
      <c r="C1402" s="1430"/>
      <c r="D1402" s="1427"/>
      <c r="E1402" s="1427"/>
      <c r="F1402" s="1427"/>
      <c r="G1402" s="1427"/>
      <c r="H1402" s="1427"/>
      <c r="N1402" s="1727"/>
    </row>
    <row r="1403" spans="1:14" x14ac:dyDescent="0.2">
      <c r="A1403" s="1424"/>
      <c r="B1403" s="1427"/>
      <c r="C1403" s="1430"/>
      <c r="D1403" s="1427"/>
      <c r="E1403" s="1427"/>
      <c r="F1403" s="1427"/>
      <c r="G1403" s="1427"/>
      <c r="H1403" s="1427"/>
      <c r="N1403" s="1727"/>
    </row>
    <row r="1404" spans="1:14" x14ac:dyDescent="0.2">
      <c r="A1404" s="1424"/>
      <c r="B1404" s="1427"/>
      <c r="C1404" s="1430"/>
      <c r="D1404" s="1427"/>
      <c r="E1404" s="1427"/>
      <c r="F1404" s="1427"/>
      <c r="G1404" s="1427"/>
      <c r="H1404" s="1427"/>
      <c r="N1404" s="1727"/>
    </row>
    <row r="1405" spans="1:14" x14ac:dyDescent="0.2">
      <c r="A1405" s="1424"/>
      <c r="B1405" s="1427"/>
      <c r="C1405" s="1430"/>
      <c r="D1405" s="1427"/>
      <c r="E1405" s="1427"/>
      <c r="F1405" s="1427"/>
      <c r="G1405" s="1427"/>
      <c r="H1405" s="1427"/>
      <c r="N1405" s="1727"/>
    </row>
    <row r="1406" spans="1:14" x14ac:dyDescent="0.2">
      <c r="A1406" s="1424"/>
      <c r="B1406" s="1427"/>
      <c r="C1406" s="1430"/>
      <c r="D1406" s="1427"/>
      <c r="E1406" s="1427"/>
      <c r="F1406" s="1427"/>
      <c r="G1406" s="1427"/>
      <c r="H1406" s="1427"/>
      <c r="N1406" s="1727"/>
    </row>
    <row r="1407" spans="1:14" x14ac:dyDescent="0.2">
      <c r="A1407" s="1424"/>
      <c r="B1407" s="1427"/>
      <c r="C1407" s="1430"/>
      <c r="D1407" s="1427"/>
      <c r="E1407" s="1427"/>
      <c r="F1407" s="1427"/>
      <c r="G1407" s="1427"/>
      <c r="H1407" s="1427"/>
      <c r="N1407" s="1727"/>
    </row>
    <row r="1408" spans="1:14" x14ac:dyDescent="0.2">
      <c r="A1408" s="1424"/>
      <c r="B1408" s="1427"/>
      <c r="C1408" s="1430"/>
      <c r="D1408" s="1427"/>
      <c r="E1408" s="1427"/>
      <c r="F1408" s="1427"/>
      <c r="G1408" s="1427"/>
      <c r="H1408" s="1427"/>
      <c r="N1408" s="1727"/>
    </row>
    <row r="1409" spans="1:14" x14ac:dyDescent="0.2">
      <c r="A1409" s="1424"/>
      <c r="B1409" s="1427"/>
      <c r="C1409" s="1430"/>
      <c r="D1409" s="1427"/>
      <c r="E1409" s="1427"/>
      <c r="F1409" s="1427"/>
      <c r="G1409" s="1427"/>
      <c r="H1409" s="1427"/>
      <c r="N1409" s="1727"/>
    </row>
    <row r="1410" spans="1:14" x14ac:dyDescent="0.2">
      <c r="A1410" s="1424"/>
      <c r="B1410" s="1427"/>
      <c r="C1410" s="1430"/>
      <c r="D1410" s="1427"/>
      <c r="E1410" s="1427"/>
      <c r="F1410" s="1427"/>
      <c r="G1410" s="1427"/>
      <c r="H1410" s="1427"/>
      <c r="N1410" s="1727"/>
    </row>
    <row r="1411" spans="1:14" x14ac:dyDescent="0.2">
      <c r="A1411" s="1424"/>
      <c r="B1411" s="1427"/>
      <c r="C1411" s="1430"/>
      <c r="D1411" s="1427"/>
      <c r="E1411" s="1427"/>
      <c r="F1411" s="1427"/>
      <c r="G1411" s="1427"/>
      <c r="H1411" s="1427"/>
      <c r="N1411" s="1727"/>
    </row>
    <row r="1412" spans="1:14" x14ac:dyDescent="0.2">
      <c r="A1412" s="1424"/>
      <c r="B1412" s="1427"/>
      <c r="C1412" s="1430"/>
      <c r="D1412" s="1427"/>
      <c r="E1412" s="1427"/>
      <c r="F1412" s="1427"/>
      <c r="G1412" s="1427"/>
      <c r="H1412" s="1427"/>
      <c r="N1412" s="1727"/>
    </row>
    <row r="1413" spans="1:14" x14ac:dyDescent="0.2">
      <c r="A1413" s="1424"/>
      <c r="B1413" s="1427"/>
      <c r="C1413" s="1430"/>
      <c r="D1413" s="1427"/>
      <c r="E1413" s="1427"/>
      <c r="F1413" s="1427"/>
      <c r="G1413" s="1427"/>
      <c r="H1413" s="1427"/>
      <c r="N1413" s="1727"/>
    </row>
    <row r="1414" spans="1:14" x14ac:dyDescent="0.2">
      <c r="A1414" s="1424"/>
      <c r="B1414" s="1427"/>
      <c r="C1414" s="1430"/>
      <c r="D1414" s="1427"/>
      <c r="E1414" s="1427"/>
      <c r="F1414" s="1427"/>
      <c r="G1414" s="1427"/>
      <c r="H1414" s="1427"/>
      <c r="N1414" s="1727"/>
    </row>
    <row r="1415" spans="1:14" x14ac:dyDescent="0.2">
      <c r="A1415" s="1424"/>
      <c r="B1415" s="1427"/>
      <c r="C1415" s="1430"/>
      <c r="D1415" s="1427"/>
      <c r="E1415" s="1427"/>
      <c r="F1415" s="1427"/>
      <c r="G1415" s="1427"/>
      <c r="H1415" s="1427"/>
      <c r="N1415" s="1727"/>
    </row>
    <row r="1416" spans="1:14" x14ac:dyDescent="0.2">
      <c r="A1416" s="1424"/>
      <c r="B1416" s="1427"/>
      <c r="C1416" s="1430"/>
      <c r="D1416" s="1427"/>
      <c r="E1416" s="1427"/>
      <c r="F1416" s="1427"/>
      <c r="G1416" s="1427"/>
      <c r="H1416" s="1427"/>
      <c r="N1416" s="1727"/>
    </row>
    <row r="1417" spans="1:14" x14ac:dyDescent="0.2">
      <c r="A1417" s="1424"/>
      <c r="B1417" s="1427"/>
      <c r="C1417" s="1430"/>
      <c r="D1417" s="1427"/>
      <c r="E1417" s="1427"/>
      <c r="F1417" s="1427"/>
      <c r="G1417" s="1427"/>
      <c r="H1417" s="1427"/>
      <c r="N1417" s="1727"/>
    </row>
    <row r="1418" spans="1:14" x14ac:dyDescent="0.2">
      <c r="A1418" s="1424"/>
      <c r="B1418" s="1427"/>
      <c r="C1418" s="1430"/>
      <c r="D1418" s="1427"/>
      <c r="E1418" s="1427"/>
      <c r="F1418" s="1427"/>
      <c r="G1418" s="1427"/>
      <c r="H1418" s="1427"/>
      <c r="N1418" s="1727"/>
    </row>
    <row r="1419" spans="1:14" x14ac:dyDescent="0.2">
      <c r="A1419" s="1424"/>
      <c r="B1419" s="1427"/>
      <c r="C1419" s="1430"/>
      <c r="D1419" s="1427"/>
      <c r="E1419" s="1427"/>
      <c r="F1419" s="1427"/>
      <c r="G1419" s="1427"/>
      <c r="H1419" s="1427"/>
      <c r="N1419" s="1727"/>
    </row>
    <row r="1420" spans="1:14" x14ac:dyDescent="0.2">
      <c r="A1420" s="1424"/>
      <c r="B1420" s="1427"/>
      <c r="C1420" s="1430"/>
      <c r="D1420" s="1427"/>
      <c r="E1420" s="1427"/>
      <c r="F1420" s="1427"/>
      <c r="G1420" s="1427"/>
      <c r="H1420" s="1427"/>
      <c r="N1420" s="1727"/>
    </row>
    <row r="1421" spans="1:14" x14ac:dyDescent="0.2">
      <c r="A1421" s="1424"/>
      <c r="B1421" s="1427"/>
      <c r="C1421" s="1430"/>
      <c r="D1421" s="1427"/>
      <c r="E1421" s="1427"/>
      <c r="F1421" s="1427"/>
      <c r="G1421" s="1427"/>
      <c r="H1421" s="1427"/>
      <c r="N1421" s="1727"/>
    </row>
    <row r="1422" spans="1:14" x14ac:dyDescent="0.2">
      <c r="A1422" s="1424"/>
      <c r="B1422" s="1427"/>
      <c r="C1422" s="1430"/>
      <c r="D1422" s="1427"/>
      <c r="E1422" s="1427"/>
      <c r="F1422" s="1427"/>
      <c r="G1422" s="1427"/>
      <c r="H1422" s="1427"/>
      <c r="N1422" s="1727"/>
    </row>
    <row r="1423" spans="1:14" x14ac:dyDescent="0.2">
      <c r="A1423" s="1424"/>
      <c r="B1423" s="1427"/>
      <c r="C1423" s="1430"/>
      <c r="D1423" s="1427"/>
      <c r="E1423" s="1427"/>
      <c r="F1423" s="1427"/>
      <c r="G1423" s="1427"/>
      <c r="H1423" s="1427"/>
      <c r="N1423" s="1727"/>
    </row>
    <row r="1424" spans="1:14" x14ac:dyDescent="0.2">
      <c r="A1424" s="1424"/>
      <c r="B1424" s="1427"/>
      <c r="C1424" s="1430"/>
      <c r="D1424" s="1427"/>
      <c r="E1424" s="1427"/>
      <c r="F1424" s="1427"/>
      <c r="G1424" s="1427"/>
      <c r="H1424" s="1427"/>
      <c r="N1424" s="1727"/>
    </row>
    <row r="1425" spans="1:14" x14ac:dyDescent="0.2">
      <c r="A1425" s="1424"/>
      <c r="B1425" s="1427"/>
      <c r="C1425" s="1430"/>
      <c r="D1425" s="1427"/>
      <c r="E1425" s="1427"/>
      <c r="F1425" s="1427"/>
      <c r="G1425" s="1427"/>
      <c r="H1425" s="1427"/>
      <c r="N1425" s="1727"/>
    </row>
    <row r="1426" spans="1:14" x14ac:dyDescent="0.2">
      <c r="A1426" s="1424"/>
      <c r="B1426" s="1427"/>
      <c r="C1426" s="1430"/>
      <c r="D1426" s="1427"/>
      <c r="E1426" s="1427"/>
      <c r="F1426" s="1427"/>
      <c r="G1426" s="1427"/>
      <c r="H1426" s="1427"/>
      <c r="N1426" s="1727"/>
    </row>
    <row r="1427" spans="1:14" x14ac:dyDescent="0.2">
      <c r="A1427" s="1424"/>
      <c r="B1427" s="1427"/>
      <c r="C1427" s="1430"/>
      <c r="D1427" s="1427"/>
      <c r="E1427" s="1427"/>
      <c r="F1427" s="1427"/>
      <c r="G1427" s="1427"/>
      <c r="H1427" s="1427"/>
      <c r="N1427" s="1727"/>
    </row>
    <row r="1428" spans="1:14" x14ac:dyDescent="0.2">
      <c r="A1428" s="1424"/>
      <c r="B1428" s="1427"/>
      <c r="C1428" s="1430"/>
      <c r="D1428" s="1427"/>
      <c r="E1428" s="1427"/>
      <c r="F1428" s="1427"/>
      <c r="G1428" s="1427"/>
      <c r="H1428" s="1427"/>
      <c r="N1428" s="1727"/>
    </row>
    <row r="1429" spans="1:14" x14ac:dyDescent="0.2">
      <c r="A1429" s="1424"/>
      <c r="B1429" s="1427"/>
      <c r="C1429" s="1430"/>
      <c r="D1429" s="1427"/>
      <c r="E1429" s="1427"/>
      <c r="F1429" s="1427"/>
      <c r="G1429" s="1427"/>
      <c r="H1429" s="1427"/>
      <c r="N1429" s="1727"/>
    </row>
    <row r="1430" spans="1:14" x14ac:dyDescent="0.2">
      <c r="A1430" s="1424"/>
      <c r="B1430" s="1427"/>
      <c r="C1430" s="1430"/>
      <c r="D1430" s="1427"/>
      <c r="E1430" s="1427"/>
      <c r="F1430" s="1427"/>
      <c r="G1430" s="1427"/>
      <c r="H1430" s="1427"/>
      <c r="N1430" s="1727"/>
    </row>
    <row r="1431" spans="1:14" x14ac:dyDescent="0.2">
      <c r="A1431" s="1424"/>
      <c r="B1431" s="1427"/>
      <c r="C1431" s="1430"/>
      <c r="D1431" s="1427"/>
      <c r="E1431" s="1427"/>
      <c r="F1431" s="1427"/>
      <c r="G1431" s="1427"/>
      <c r="H1431" s="1427"/>
      <c r="N1431" s="1727"/>
    </row>
    <row r="1432" spans="1:14" x14ac:dyDescent="0.2">
      <c r="A1432" s="1424"/>
      <c r="B1432" s="1427"/>
      <c r="C1432" s="1430"/>
      <c r="D1432" s="1427"/>
      <c r="E1432" s="1427"/>
      <c r="F1432" s="1427"/>
      <c r="G1432" s="1427"/>
      <c r="H1432" s="1427"/>
      <c r="N1432" s="1727"/>
    </row>
    <row r="1433" spans="1:14" x14ac:dyDescent="0.2">
      <c r="A1433" s="1424"/>
      <c r="B1433" s="1427"/>
      <c r="C1433" s="1430"/>
      <c r="D1433" s="1427"/>
      <c r="E1433" s="1427"/>
      <c r="F1433" s="1427"/>
      <c r="G1433" s="1427"/>
      <c r="H1433" s="1427"/>
      <c r="N1433" s="1727"/>
    </row>
    <row r="1434" spans="1:14" x14ac:dyDescent="0.2">
      <c r="A1434" s="1424"/>
      <c r="B1434" s="1427"/>
      <c r="C1434" s="1430"/>
      <c r="D1434" s="1427"/>
      <c r="E1434" s="1427"/>
      <c r="F1434" s="1427"/>
      <c r="G1434" s="1427"/>
      <c r="H1434" s="1427"/>
      <c r="N1434" s="1727"/>
    </row>
    <row r="1435" spans="1:14" x14ac:dyDescent="0.2">
      <c r="A1435" s="1424"/>
      <c r="B1435" s="1427"/>
      <c r="C1435" s="1430"/>
      <c r="D1435" s="1427"/>
      <c r="E1435" s="1427"/>
      <c r="F1435" s="1427"/>
      <c r="G1435" s="1427"/>
      <c r="H1435" s="1427"/>
      <c r="N1435" s="1727"/>
    </row>
    <row r="1436" spans="1:14" x14ac:dyDescent="0.2">
      <c r="A1436" s="1424"/>
      <c r="B1436" s="1427"/>
      <c r="C1436" s="1430"/>
      <c r="D1436" s="1427"/>
      <c r="E1436" s="1427"/>
      <c r="F1436" s="1427"/>
      <c r="G1436" s="1427"/>
      <c r="H1436" s="1427"/>
      <c r="N1436" s="1727"/>
    </row>
    <row r="1437" spans="1:14" x14ac:dyDescent="0.2">
      <c r="A1437" s="1424"/>
      <c r="B1437" s="1427"/>
      <c r="C1437" s="1430"/>
      <c r="D1437" s="1427"/>
      <c r="E1437" s="1427"/>
      <c r="F1437" s="1427"/>
      <c r="G1437" s="1427"/>
      <c r="H1437" s="1427"/>
      <c r="N1437" s="1727"/>
    </row>
    <row r="1438" spans="1:14" x14ac:dyDescent="0.2">
      <c r="A1438" s="1424"/>
      <c r="B1438" s="1427"/>
      <c r="C1438" s="1430"/>
      <c r="D1438" s="1427"/>
      <c r="E1438" s="1427"/>
      <c r="F1438" s="1427"/>
      <c r="G1438" s="1427"/>
      <c r="H1438" s="1427"/>
      <c r="N1438" s="1727"/>
    </row>
    <row r="1439" spans="1:14" x14ac:dyDescent="0.2">
      <c r="A1439" s="1424"/>
      <c r="B1439" s="1427"/>
      <c r="C1439" s="1430"/>
      <c r="D1439" s="1427"/>
      <c r="E1439" s="1427"/>
      <c r="F1439" s="1427"/>
      <c r="G1439" s="1427"/>
      <c r="H1439" s="1427"/>
      <c r="N1439" s="1727"/>
    </row>
    <row r="1440" spans="1:14" x14ac:dyDescent="0.2">
      <c r="A1440" s="1424"/>
      <c r="B1440" s="1427"/>
      <c r="C1440" s="1430"/>
      <c r="D1440" s="1427"/>
      <c r="E1440" s="1427"/>
      <c r="F1440" s="1427"/>
      <c r="G1440" s="1427"/>
      <c r="H1440" s="1427"/>
      <c r="N1440" s="1727"/>
    </row>
    <row r="1441" spans="1:14" x14ac:dyDescent="0.2">
      <c r="A1441" s="1424"/>
      <c r="B1441" s="1427"/>
      <c r="C1441" s="1430"/>
      <c r="D1441" s="1427"/>
      <c r="E1441" s="1427"/>
      <c r="F1441" s="1427"/>
      <c r="G1441" s="1427"/>
      <c r="H1441" s="1427"/>
      <c r="N1441" s="1727"/>
    </row>
    <row r="1442" spans="1:14" x14ac:dyDescent="0.2">
      <c r="A1442" s="1424"/>
      <c r="B1442" s="1427"/>
      <c r="C1442" s="1430"/>
      <c r="D1442" s="1427"/>
      <c r="E1442" s="1427"/>
      <c r="F1442" s="1427"/>
      <c r="G1442" s="1427"/>
      <c r="H1442" s="1427"/>
      <c r="N1442" s="1727"/>
    </row>
    <row r="1443" spans="1:14" x14ac:dyDescent="0.2">
      <c r="A1443" s="1424"/>
      <c r="B1443" s="1427"/>
      <c r="C1443" s="1430"/>
      <c r="D1443" s="1427"/>
      <c r="E1443" s="1427"/>
      <c r="F1443" s="1427"/>
      <c r="G1443" s="1427"/>
      <c r="H1443" s="1427"/>
      <c r="N1443" s="1727"/>
    </row>
    <row r="1444" spans="1:14" x14ac:dyDescent="0.2">
      <c r="A1444" s="1424"/>
      <c r="B1444" s="1427"/>
      <c r="C1444" s="1430"/>
      <c r="D1444" s="1427"/>
      <c r="E1444" s="1427"/>
      <c r="F1444" s="1427"/>
      <c r="G1444" s="1427"/>
      <c r="H1444" s="1427"/>
      <c r="N1444" s="1727"/>
    </row>
    <row r="1445" spans="1:14" x14ac:dyDescent="0.2">
      <c r="A1445" s="1424"/>
      <c r="B1445" s="1427"/>
      <c r="C1445" s="1430"/>
      <c r="D1445" s="1427"/>
      <c r="E1445" s="1427"/>
      <c r="F1445" s="1427"/>
      <c r="G1445" s="1427"/>
      <c r="H1445" s="1427"/>
      <c r="N1445" s="1727"/>
    </row>
    <row r="1446" spans="1:14" x14ac:dyDescent="0.2">
      <c r="A1446" s="1424"/>
      <c r="B1446" s="1427"/>
      <c r="C1446" s="1430"/>
      <c r="D1446" s="1427"/>
      <c r="E1446" s="1427"/>
      <c r="F1446" s="1427"/>
      <c r="G1446" s="1427"/>
      <c r="H1446" s="1427"/>
      <c r="N1446" s="1727"/>
    </row>
    <row r="1447" spans="1:14" x14ac:dyDescent="0.2">
      <c r="A1447" s="1424"/>
      <c r="B1447" s="1427"/>
      <c r="C1447" s="1430"/>
      <c r="D1447" s="1427"/>
      <c r="E1447" s="1427"/>
      <c r="F1447" s="1427"/>
      <c r="G1447" s="1427"/>
      <c r="H1447" s="1427"/>
      <c r="N1447" s="1727"/>
    </row>
    <row r="1448" spans="1:14" x14ac:dyDescent="0.2">
      <c r="A1448" s="1424"/>
      <c r="B1448" s="1427"/>
      <c r="C1448" s="1430"/>
      <c r="D1448" s="1427"/>
      <c r="E1448" s="1427"/>
      <c r="F1448" s="1427"/>
      <c r="G1448" s="1427"/>
      <c r="H1448" s="1427"/>
      <c r="N1448" s="1727"/>
    </row>
    <row r="1449" spans="1:14" x14ac:dyDescent="0.2">
      <c r="A1449" s="1424"/>
      <c r="B1449" s="1427"/>
      <c r="C1449" s="1430"/>
      <c r="D1449" s="1427"/>
      <c r="E1449" s="1427"/>
      <c r="F1449" s="1427"/>
      <c r="G1449" s="1427"/>
      <c r="H1449" s="1427"/>
      <c r="N1449" s="1727"/>
    </row>
    <row r="1450" spans="1:14" x14ac:dyDescent="0.2">
      <c r="A1450" s="1424"/>
      <c r="B1450" s="1427"/>
      <c r="C1450" s="1430"/>
      <c r="D1450" s="1427"/>
      <c r="E1450" s="1427"/>
      <c r="F1450" s="1427"/>
      <c r="G1450" s="1427"/>
      <c r="H1450" s="1427"/>
      <c r="N1450" s="1727"/>
    </row>
    <row r="1451" spans="1:14" x14ac:dyDescent="0.2">
      <c r="A1451" s="1424"/>
      <c r="B1451" s="1427"/>
      <c r="C1451" s="1430"/>
      <c r="D1451" s="1427"/>
      <c r="E1451" s="1427"/>
      <c r="F1451" s="1427"/>
      <c r="G1451" s="1427"/>
      <c r="H1451" s="1427"/>
      <c r="N1451" s="1727"/>
    </row>
    <row r="1452" spans="1:14" x14ac:dyDescent="0.2">
      <c r="A1452" s="1424"/>
      <c r="B1452" s="1427"/>
      <c r="C1452" s="1430"/>
      <c r="D1452" s="1427"/>
      <c r="E1452" s="1427"/>
      <c r="F1452" s="1427"/>
      <c r="G1452" s="1427"/>
      <c r="H1452" s="1427"/>
      <c r="N1452" s="1727"/>
    </row>
    <row r="1453" spans="1:14" x14ac:dyDescent="0.2">
      <c r="A1453" s="1424"/>
      <c r="B1453" s="1427"/>
      <c r="C1453" s="1430"/>
      <c r="D1453" s="1427"/>
      <c r="E1453" s="1427"/>
      <c r="F1453" s="1427"/>
      <c r="G1453" s="1427"/>
      <c r="H1453" s="1427"/>
      <c r="N1453" s="1727"/>
    </row>
    <row r="1454" spans="1:14" x14ac:dyDescent="0.2">
      <c r="A1454" s="1424"/>
      <c r="B1454" s="1427"/>
      <c r="C1454" s="1430"/>
      <c r="D1454" s="1427"/>
      <c r="E1454" s="1427"/>
      <c r="F1454" s="1427"/>
      <c r="G1454" s="1427"/>
      <c r="H1454" s="1427"/>
      <c r="N1454" s="1727"/>
    </row>
    <row r="1455" spans="1:14" x14ac:dyDescent="0.2">
      <c r="A1455" s="1424"/>
      <c r="B1455" s="1427"/>
      <c r="C1455" s="1430"/>
      <c r="D1455" s="1427"/>
      <c r="E1455" s="1427"/>
      <c r="F1455" s="1427"/>
      <c r="G1455" s="1427"/>
      <c r="H1455" s="1427"/>
      <c r="N1455" s="1727"/>
    </row>
    <row r="1456" spans="1:14" x14ac:dyDescent="0.2">
      <c r="A1456" s="1424"/>
      <c r="B1456" s="1427"/>
      <c r="C1456" s="1430"/>
      <c r="D1456" s="1427"/>
      <c r="E1456" s="1427"/>
      <c r="F1456" s="1427"/>
      <c r="G1456" s="1427"/>
      <c r="H1456" s="1427"/>
      <c r="N1456" s="1727"/>
    </row>
    <row r="1457" spans="1:14" x14ac:dyDescent="0.2">
      <c r="A1457" s="1424"/>
      <c r="B1457" s="1427"/>
      <c r="C1457" s="1430"/>
      <c r="D1457" s="1427"/>
      <c r="E1457" s="1427"/>
      <c r="F1457" s="1427"/>
      <c r="G1457" s="1427"/>
      <c r="H1457" s="1427"/>
      <c r="N1457" s="1727"/>
    </row>
    <row r="1458" spans="1:14" x14ac:dyDescent="0.2">
      <c r="A1458" s="1424"/>
      <c r="B1458" s="1427"/>
      <c r="C1458" s="1430"/>
      <c r="D1458" s="1427"/>
      <c r="E1458" s="1427"/>
      <c r="F1458" s="1427"/>
      <c r="G1458" s="1427"/>
      <c r="H1458" s="1427"/>
      <c r="N1458" s="1727"/>
    </row>
    <row r="1459" spans="1:14" x14ac:dyDescent="0.2">
      <c r="A1459" s="1424"/>
      <c r="B1459" s="1427"/>
      <c r="C1459" s="1430"/>
      <c r="D1459" s="1427"/>
      <c r="E1459" s="1427"/>
      <c r="F1459" s="1427"/>
      <c r="G1459" s="1427"/>
      <c r="H1459" s="1427"/>
      <c r="N1459" s="1727"/>
    </row>
    <row r="1460" spans="1:14" x14ac:dyDescent="0.2">
      <c r="A1460" s="1424"/>
      <c r="B1460" s="1427"/>
      <c r="C1460" s="1430"/>
      <c r="D1460" s="1427"/>
      <c r="E1460" s="1427"/>
      <c r="F1460" s="1427"/>
      <c r="G1460" s="1427"/>
      <c r="H1460" s="1427"/>
      <c r="N1460" s="1727"/>
    </row>
    <row r="1461" spans="1:14" x14ac:dyDescent="0.2">
      <c r="A1461" s="1424"/>
      <c r="B1461" s="1427"/>
      <c r="C1461" s="1430"/>
      <c r="D1461" s="1427"/>
      <c r="E1461" s="1427"/>
      <c r="F1461" s="1427"/>
      <c r="G1461" s="1427"/>
      <c r="H1461" s="1427"/>
      <c r="N1461" s="1727"/>
    </row>
    <row r="1462" spans="1:14" x14ac:dyDescent="0.2">
      <c r="A1462" s="1424"/>
      <c r="B1462" s="1427"/>
      <c r="C1462" s="1430"/>
      <c r="D1462" s="1427"/>
      <c r="E1462" s="1427"/>
      <c r="F1462" s="1427"/>
      <c r="G1462" s="1427"/>
      <c r="H1462" s="1427"/>
      <c r="N1462" s="1727"/>
    </row>
    <row r="1463" spans="1:14" x14ac:dyDescent="0.2">
      <c r="A1463" s="1424"/>
      <c r="B1463" s="1427"/>
      <c r="C1463" s="1430"/>
      <c r="D1463" s="1427"/>
      <c r="E1463" s="1427"/>
      <c r="F1463" s="1427"/>
      <c r="G1463" s="1427"/>
      <c r="H1463" s="1427"/>
      <c r="N1463" s="1727"/>
    </row>
    <row r="1464" spans="1:14" x14ac:dyDescent="0.2">
      <c r="A1464" s="1424"/>
      <c r="B1464" s="1427"/>
      <c r="C1464" s="1430"/>
      <c r="D1464" s="1427"/>
      <c r="E1464" s="1427"/>
      <c r="F1464" s="1427"/>
      <c r="G1464" s="1427"/>
      <c r="H1464" s="1427"/>
      <c r="N1464" s="1727"/>
    </row>
    <row r="1465" spans="1:14" x14ac:dyDescent="0.2">
      <c r="A1465" s="1424"/>
      <c r="B1465" s="1427"/>
      <c r="C1465" s="1430"/>
      <c r="D1465" s="1427"/>
      <c r="E1465" s="1427"/>
      <c r="F1465" s="1427"/>
      <c r="G1465" s="1427"/>
      <c r="H1465" s="1427"/>
      <c r="N1465" s="1727"/>
    </row>
    <row r="1466" spans="1:14" x14ac:dyDescent="0.2">
      <c r="A1466" s="1424"/>
      <c r="B1466" s="1427"/>
      <c r="C1466" s="1430"/>
      <c r="D1466" s="1427"/>
      <c r="E1466" s="1427"/>
      <c r="F1466" s="1427"/>
      <c r="G1466" s="1427"/>
      <c r="H1466" s="1427"/>
      <c r="N1466" s="1727"/>
    </row>
    <row r="1467" spans="1:14" x14ac:dyDescent="0.2">
      <c r="A1467" s="1424"/>
      <c r="B1467" s="1427"/>
      <c r="C1467" s="1430"/>
      <c r="D1467" s="1427"/>
      <c r="E1467" s="1427"/>
      <c r="F1467" s="1427"/>
      <c r="G1467" s="1427"/>
      <c r="H1467" s="1427"/>
      <c r="N1467" s="1727"/>
    </row>
    <row r="1468" spans="1:14" x14ac:dyDescent="0.2">
      <c r="A1468" s="1424"/>
      <c r="B1468" s="1427"/>
      <c r="C1468" s="1430"/>
      <c r="D1468" s="1427"/>
      <c r="E1468" s="1427"/>
      <c r="F1468" s="1427"/>
      <c r="G1468" s="1427"/>
      <c r="H1468" s="1427"/>
      <c r="N1468" s="1727"/>
    </row>
    <row r="1469" spans="1:14" x14ac:dyDescent="0.2">
      <c r="A1469" s="1424"/>
      <c r="B1469" s="1427"/>
      <c r="C1469" s="1430"/>
      <c r="D1469" s="1427"/>
      <c r="E1469" s="1427"/>
      <c r="F1469" s="1427"/>
      <c r="G1469" s="1427"/>
      <c r="H1469" s="1427"/>
      <c r="N1469" s="1727"/>
    </row>
    <row r="1470" spans="1:14" x14ac:dyDescent="0.2">
      <c r="A1470" s="1424"/>
      <c r="B1470" s="1427"/>
      <c r="C1470" s="1430"/>
      <c r="D1470" s="1427"/>
      <c r="E1470" s="1427"/>
      <c r="F1470" s="1427"/>
      <c r="G1470" s="1427"/>
      <c r="H1470" s="1427"/>
      <c r="N1470" s="1727"/>
    </row>
    <row r="1471" spans="1:14" x14ac:dyDescent="0.2">
      <c r="A1471" s="1424"/>
      <c r="B1471" s="1427"/>
      <c r="C1471" s="1430"/>
      <c r="D1471" s="1427"/>
      <c r="E1471" s="1427"/>
      <c r="F1471" s="1427"/>
      <c r="G1471" s="1427"/>
      <c r="H1471" s="1427"/>
      <c r="N1471" s="1727"/>
    </row>
    <row r="1472" spans="1:14" x14ac:dyDescent="0.2">
      <c r="A1472" s="1424"/>
      <c r="B1472" s="1427"/>
      <c r="C1472" s="1430"/>
      <c r="D1472" s="1427"/>
      <c r="E1472" s="1427"/>
      <c r="F1472" s="1427"/>
      <c r="G1472" s="1427"/>
      <c r="H1472" s="1427"/>
      <c r="N1472" s="1727"/>
    </row>
    <row r="1473" spans="1:14" x14ac:dyDescent="0.2">
      <c r="A1473" s="1424"/>
      <c r="B1473" s="1427"/>
      <c r="C1473" s="1430"/>
      <c r="D1473" s="1427"/>
      <c r="E1473" s="1427"/>
      <c r="F1473" s="1427"/>
      <c r="G1473" s="1427"/>
      <c r="H1473" s="1427"/>
      <c r="N1473" s="1727"/>
    </row>
    <row r="1474" spans="1:14" x14ac:dyDescent="0.2">
      <c r="A1474" s="1424"/>
      <c r="B1474" s="1427"/>
      <c r="C1474" s="1430"/>
      <c r="D1474" s="1427"/>
      <c r="E1474" s="1427"/>
      <c r="F1474" s="1427"/>
      <c r="G1474" s="1427"/>
      <c r="H1474" s="1427"/>
      <c r="N1474" s="1727"/>
    </row>
    <row r="1475" spans="1:14" x14ac:dyDescent="0.2">
      <c r="A1475" s="1424"/>
      <c r="B1475" s="1427"/>
      <c r="C1475" s="1430"/>
      <c r="D1475" s="1427"/>
      <c r="E1475" s="1427"/>
      <c r="F1475" s="1427"/>
      <c r="G1475" s="1427"/>
      <c r="H1475" s="1427"/>
      <c r="N1475" s="1727"/>
    </row>
    <row r="1476" spans="1:14" x14ac:dyDescent="0.2">
      <c r="A1476" s="1424"/>
      <c r="B1476" s="1427"/>
      <c r="C1476" s="1430"/>
      <c r="D1476" s="1427"/>
      <c r="E1476" s="1427"/>
      <c r="F1476" s="1427"/>
      <c r="G1476" s="1427"/>
      <c r="H1476" s="1427"/>
      <c r="N1476" s="1727"/>
    </row>
    <row r="1477" spans="1:14" x14ac:dyDescent="0.2">
      <c r="A1477" s="1424"/>
      <c r="B1477" s="1427"/>
      <c r="C1477" s="1430"/>
      <c r="D1477" s="1427"/>
      <c r="E1477" s="1427"/>
      <c r="F1477" s="1427"/>
      <c r="G1477" s="1427"/>
      <c r="H1477" s="1427"/>
      <c r="N1477" s="1727"/>
    </row>
    <row r="1478" spans="1:14" x14ac:dyDescent="0.2">
      <c r="A1478" s="1424"/>
      <c r="B1478" s="1427"/>
      <c r="C1478" s="1430"/>
      <c r="D1478" s="1427"/>
      <c r="E1478" s="1427"/>
      <c r="F1478" s="1427"/>
      <c r="G1478" s="1427"/>
      <c r="H1478" s="1427"/>
      <c r="N1478" s="1727"/>
    </row>
    <row r="1479" spans="1:14" x14ac:dyDescent="0.2">
      <c r="A1479" s="1424"/>
      <c r="B1479" s="1427"/>
      <c r="C1479" s="1430"/>
      <c r="D1479" s="1427"/>
      <c r="E1479" s="1427"/>
      <c r="F1479" s="1427"/>
      <c r="G1479" s="1427"/>
      <c r="H1479" s="1427"/>
      <c r="N1479" s="1727"/>
    </row>
    <row r="1480" spans="1:14" x14ac:dyDescent="0.2">
      <c r="A1480" s="1424"/>
      <c r="B1480" s="1427"/>
      <c r="C1480" s="1430"/>
      <c r="D1480" s="1427"/>
      <c r="E1480" s="1427"/>
      <c r="F1480" s="1427"/>
      <c r="G1480" s="1427"/>
      <c r="H1480" s="1427"/>
      <c r="N1480" s="1727"/>
    </row>
    <row r="1481" spans="1:14" x14ac:dyDescent="0.2">
      <c r="A1481" s="1424"/>
      <c r="B1481" s="1427"/>
      <c r="C1481" s="1430"/>
      <c r="D1481" s="1427"/>
      <c r="E1481" s="1427"/>
      <c r="F1481" s="1427"/>
      <c r="G1481" s="1427"/>
      <c r="H1481" s="1427"/>
      <c r="N1481" s="1727"/>
    </row>
    <row r="1482" spans="1:14" x14ac:dyDescent="0.2">
      <c r="A1482" s="1424"/>
      <c r="B1482" s="1427"/>
      <c r="C1482" s="1430"/>
      <c r="D1482" s="1427"/>
      <c r="E1482" s="1427"/>
      <c r="F1482" s="1427"/>
      <c r="G1482" s="1427"/>
      <c r="H1482" s="1427"/>
      <c r="N1482" s="1727"/>
    </row>
    <row r="1483" spans="1:14" x14ac:dyDescent="0.2">
      <c r="A1483" s="1424"/>
      <c r="B1483" s="1427"/>
      <c r="C1483" s="1430"/>
      <c r="D1483" s="1427"/>
      <c r="E1483" s="1427"/>
      <c r="F1483" s="1427"/>
      <c r="G1483" s="1427"/>
      <c r="H1483" s="1427"/>
      <c r="N1483" s="1727"/>
    </row>
    <row r="1484" spans="1:14" x14ac:dyDescent="0.2">
      <c r="A1484" s="1424"/>
      <c r="B1484" s="1427"/>
      <c r="C1484" s="1430"/>
      <c r="D1484" s="1427"/>
      <c r="E1484" s="1427"/>
      <c r="F1484" s="1427"/>
      <c r="G1484" s="1427"/>
      <c r="H1484" s="1427"/>
      <c r="N1484" s="1727"/>
    </row>
    <row r="1485" spans="1:14" x14ac:dyDescent="0.2">
      <c r="A1485" s="1424"/>
      <c r="B1485" s="1427"/>
      <c r="C1485" s="1430"/>
      <c r="D1485" s="1427"/>
      <c r="E1485" s="1427"/>
      <c r="F1485" s="1427"/>
      <c r="G1485" s="1427"/>
      <c r="H1485" s="1427"/>
      <c r="N1485" s="1727"/>
    </row>
    <row r="1486" spans="1:14" x14ac:dyDescent="0.2">
      <c r="A1486" s="1424"/>
      <c r="B1486" s="1427"/>
      <c r="C1486" s="1430"/>
      <c r="D1486" s="1427"/>
      <c r="E1486" s="1427"/>
      <c r="F1486" s="1427"/>
      <c r="G1486" s="1427"/>
      <c r="H1486" s="1427"/>
      <c r="N1486" s="1727"/>
    </row>
    <row r="1487" spans="1:14" x14ac:dyDescent="0.2">
      <c r="A1487" s="1424"/>
      <c r="B1487" s="1427"/>
      <c r="C1487" s="1430"/>
      <c r="D1487" s="1427"/>
      <c r="E1487" s="1427"/>
      <c r="F1487" s="1427"/>
      <c r="G1487" s="1427"/>
      <c r="H1487" s="1427"/>
      <c r="N1487" s="1727"/>
    </row>
    <row r="1488" spans="1:14" x14ac:dyDescent="0.2">
      <c r="A1488" s="1424"/>
      <c r="B1488" s="1427"/>
      <c r="C1488" s="1430"/>
      <c r="D1488" s="1427"/>
      <c r="E1488" s="1427"/>
      <c r="F1488" s="1427"/>
      <c r="G1488" s="1427"/>
      <c r="H1488" s="1427"/>
      <c r="N1488" s="1727"/>
    </row>
    <row r="1489" spans="1:14" x14ac:dyDescent="0.2">
      <c r="A1489" s="1424"/>
      <c r="B1489" s="1427"/>
      <c r="C1489" s="1430"/>
      <c r="D1489" s="1427"/>
      <c r="E1489" s="1427"/>
      <c r="F1489" s="1427"/>
      <c r="G1489" s="1427"/>
      <c r="H1489" s="1427"/>
      <c r="N1489" s="1727"/>
    </row>
    <row r="1490" spans="1:14" x14ac:dyDescent="0.2">
      <c r="A1490" s="1424"/>
      <c r="B1490" s="1427"/>
      <c r="C1490" s="1430"/>
      <c r="D1490" s="1427"/>
      <c r="E1490" s="1427"/>
      <c r="F1490" s="1427"/>
      <c r="G1490" s="1427"/>
      <c r="H1490" s="1427"/>
      <c r="N1490" s="1727"/>
    </row>
    <row r="1491" spans="1:14" x14ac:dyDescent="0.2">
      <c r="A1491" s="1424"/>
      <c r="B1491" s="1427"/>
      <c r="C1491" s="1430"/>
      <c r="D1491" s="1427"/>
      <c r="E1491" s="1427"/>
      <c r="F1491" s="1427"/>
      <c r="G1491" s="1427"/>
      <c r="H1491" s="1427"/>
      <c r="N1491" s="1727"/>
    </row>
    <row r="1492" spans="1:14" x14ac:dyDescent="0.2">
      <c r="A1492" s="1424"/>
      <c r="B1492" s="1427"/>
      <c r="C1492" s="1430"/>
      <c r="D1492" s="1427"/>
      <c r="E1492" s="1427"/>
      <c r="F1492" s="1427"/>
      <c r="G1492" s="1427"/>
      <c r="H1492" s="1427"/>
      <c r="N1492" s="1727"/>
    </row>
    <row r="1493" spans="1:14" x14ac:dyDescent="0.2">
      <c r="A1493" s="1424"/>
      <c r="B1493" s="1427"/>
      <c r="C1493" s="1430"/>
      <c r="D1493" s="1427"/>
      <c r="E1493" s="1427"/>
      <c r="F1493" s="1427"/>
      <c r="G1493" s="1427"/>
      <c r="H1493" s="1427"/>
      <c r="N1493" s="1727"/>
    </row>
    <row r="1494" spans="1:14" x14ac:dyDescent="0.2">
      <c r="A1494" s="1424"/>
      <c r="B1494" s="1427"/>
      <c r="C1494" s="1430"/>
      <c r="D1494" s="1427"/>
      <c r="E1494" s="1427"/>
      <c r="F1494" s="1427"/>
      <c r="G1494" s="1427"/>
      <c r="H1494" s="1427"/>
      <c r="N1494" s="1727"/>
    </row>
    <row r="1495" spans="1:14" x14ac:dyDescent="0.2">
      <c r="A1495" s="1424"/>
      <c r="B1495" s="1427"/>
      <c r="C1495" s="1430"/>
      <c r="D1495" s="1427"/>
      <c r="E1495" s="1427"/>
      <c r="F1495" s="1427"/>
      <c r="G1495" s="1427"/>
      <c r="H1495" s="1427"/>
      <c r="N1495" s="1727"/>
    </row>
    <row r="1496" spans="1:14" x14ac:dyDescent="0.2">
      <c r="A1496" s="1424"/>
      <c r="B1496" s="1427"/>
      <c r="C1496" s="1430"/>
      <c r="D1496" s="1427"/>
      <c r="E1496" s="1427"/>
      <c r="F1496" s="1427"/>
      <c r="G1496" s="1427"/>
      <c r="H1496" s="1427"/>
      <c r="N1496" s="1727"/>
    </row>
    <row r="1497" spans="1:14" x14ac:dyDescent="0.2">
      <c r="A1497" s="1424"/>
      <c r="B1497" s="1427"/>
      <c r="C1497" s="1430"/>
      <c r="D1497" s="1427"/>
      <c r="E1497" s="1427"/>
      <c r="F1497" s="1427"/>
      <c r="G1497" s="1427"/>
      <c r="H1497" s="1427"/>
      <c r="N1497" s="1727"/>
    </row>
    <row r="1498" spans="1:14" x14ac:dyDescent="0.2">
      <c r="A1498" s="1424"/>
      <c r="B1498" s="1427"/>
      <c r="C1498" s="1430"/>
      <c r="D1498" s="1427"/>
      <c r="E1498" s="1427"/>
      <c r="F1498" s="1427"/>
      <c r="G1498" s="1427"/>
      <c r="H1498" s="1427"/>
      <c r="N1498" s="1727"/>
    </row>
    <row r="1499" spans="1:14" x14ac:dyDescent="0.2">
      <c r="A1499" s="1424"/>
      <c r="B1499" s="1427"/>
      <c r="C1499" s="1430"/>
      <c r="D1499" s="1427"/>
      <c r="E1499" s="1427"/>
      <c r="F1499" s="1427"/>
      <c r="G1499" s="1427"/>
      <c r="H1499" s="1427"/>
      <c r="N1499" s="1727"/>
    </row>
    <row r="1500" spans="1:14" x14ac:dyDescent="0.2">
      <c r="A1500" s="1424"/>
      <c r="B1500" s="1427"/>
      <c r="C1500" s="1430"/>
      <c r="D1500" s="1427"/>
      <c r="E1500" s="1427"/>
      <c r="F1500" s="1427"/>
      <c r="G1500" s="1427"/>
      <c r="H1500" s="1427"/>
      <c r="N1500" s="1727"/>
    </row>
    <row r="1501" spans="1:14" x14ac:dyDescent="0.2">
      <c r="A1501" s="1424"/>
      <c r="B1501" s="1427"/>
      <c r="C1501" s="1430"/>
      <c r="D1501" s="1427"/>
      <c r="E1501" s="1427"/>
      <c r="F1501" s="1427"/>
      <c r="G1501" s="1427"/>
      <c r="H1501" s="1427"/>
      <c r="N1501" s="1727"/>
    </row>
    <row r="1502" spans="1:14" x14ac:dyDescent="0.2">
      <c r="A1502" s="1424"/>
      <c r="B1502" s="1427"/>
      <c r="C1502" s="1430"/>
      <c r="D1502" s="1427"/>
      <c r="E1502" s="1427"/>
      <c r="F1502" s="1427"/>
      <c r="G1502" s="1427"/>
      <c r="H1502" s="1427"/>
      <c r="N1502" s="1727"/>
    </row>
    <row r="1503" spans="1:14" x14ac:dyDescent="0.2">
      <c r="A1503" s="1424"/>
      <c r="B1503" s="1427"/>
      <c r="C1503" s="1430"/>
      <c r="D1503" s="1427"/>
      <c r="E1503" s="1427"/>
      <c r="F1503" s="1427"/>
      <c r="G1503" s="1427"/>
      <c r="H1503" s="1427"/>
      <c r="N1503" s="1727"/>
    </row>
    <row r="1504" spans="1:14" x14ac:dyDescent="0.2">
      <c r="A1504" s="1424"/>
      <c r="B1504" s="1427"/>
      <c r="C1504" s="1430"/>
      <c r="D1504" s="1427"/>
      <c r="E1504" s="1427"/>
      <c r="F1504" s="1427"/>
      <c r="G1504" s="1427"/>
      <c r="H1504" s="1427"/>
      <c r="N1504" s="1727"/>
    </row>
    <row r="1505" spans="1:14" x14ac:dyDescent="0.2">
      <c r="A1505" s="1424"/>
      <c r="B1505" s="1427"/>
      <c r="C1505" s="1430"/>
      <c r="D1505" s="1427"/>
      <c r="E1505" s="1427"/>
      <c r="F1505" s="1427"/>
      <c r="G1505" s="1427"/>
      <c r="H1505" s="1427"/>
      <c r="N1505" s="1727"/>
    </row>
    <row r="1506" spans="1:14" x14ac:dyDescent="0.2">
      <c r="A1506" s="1424"/>
      <c r="B1506" s="1427"/>
      <c r="C1506" s="1430"/>
      <c r="D1506" s="1427"/>
      <c r="E1506" s="1427"/>
      <c r="F1506" s="1427"/>
      <c r="G1506" s="1427"/>
      <c r="H1506" s="1427"/>
      <c r="N1506" s="1727"/>
    </row>
    <row r="1507" spans="1:14" x14ac:dyDescent="0.2">
      <c r="A1507" s="1424"/>
      <c r="B1507" s="1427"/>
      <c r="C1507" s="1430"/>
      <c r="D1507" s="1427"/>
      <c r="E1507" s="1427"/>
      <c r="F1507" s="1427"/>
      <c r="G1507" s="1427"/>
      <c r="H1507" s="1427"/>
      <c r="N1507" s="1727"/>
    </row>
    <row r="1508" spans="1:14" x14ac:dyDescent="0.2">
      <c r="A1508" s="1424"/>
      <c r="B1508" s="1427"/>
      <c r="C1508" s="1430"/>
      <c r="D1508" s="1427"/>
      <c r="E1508" s="1427"/>
      <c r="F1508" s="1427"/>
      <c r="G1508" s="1427"/>
      <c r="H1508" s="1427"/>
      <c r="N1508" s="1727"/>
    </row>
    <row r="1509" spans="1:14" x14ac:dyDescent="0.2">
      <c r="A1509" s="1424"/>
      <c r="B1509" s="1427"/>
      <c r="C1509" s="1430"/>
      <c r="D1509" s="1427"/>
      <c r="E1509" s="1427"/>
      <c r="F1509" s="1427"/>
      <c r="G1509" s="1427"/>
      <c r="H1509" s="1427"/>
      <c r="N1509" s="1727"/>
    </row>
    <row r="1510" spans="1:14" x14ac:dyDescent="0.2">
      <c r="A1510" s="1424"/>
      <c r="B1510" s="1427"/>
      <c r="C1510" s="1430"/>
      <c r="D1510" s="1427"/>
      <c r="E1510" s="1427"/>
      <c r="F1510" s="1427"/>
      <c r="G1510" s="1427"/>
      <c r="H1510" s="1427"/>
      <c r="N1510" s="1727"/>
    </row>
    <row r="1511" spans="1:14" x14ac:dyDescent="0.2">
      <c r="A1511" s="1424"/>
      <c r="B1511" s="1427"/>
      <c r="C1511" s="1430"/>
      <c r="D1511" s="1427"/>
      <c r="E1511" s="1427"/>
      <c r="F1511" s="1427"/>
      <c r="G1511" s="1427"/>
      <c r="H1511" s="1427"/>
      <c r="N1511" s="1727"/>
    </row>
    <row r="1512" spans="1:14" x14ac:dyDescent="0.2">
      <c r="A1512" s="1424"/>
      <c r="B1512" s="1427"/>
      <c r="C1512" s="1430"/>
      <c r="D1512" s="1427"/>
      <c r="E1512" s="1427"/>
      <c r="F1512" s="1427"/>
      <c r="G1512" s="1427"/>
      <c r="H1512" s="1427"/>
      <c r="N1512" s="1727"/>
    </row>
    <row r="1513" spans="1:14" x14ac:dyDescent="0.2">
      <c r="A1513" s="1424"/>
      <c r="B1513" s="1427"/>
      <c r="C1513" s="1430"/>
      <c r="D1513" s="1427"/>
      <c r="E1513" s="1427"/>
      <c r="F1513" s="1427"/>
      <c r="G1513" s="1427"/>
      <c r="H1513" s="1427"/>
      <c r="N1513" s="1727"/>
    </row>
    <row r="1514" spans="1:14" x14ac:dyDescent="0.2">
      <c r="A1514" s="1424"/>
      <c r="B1514" s="1427"/>
      <c r="C1514" s="1430"/>
      <c r="D1514" s="1427"/>
      <c r="E1514" s="1427"/>
      <c r="F1514" s="1427"/>
      <c r="G1514" s="1427"/>
      <c r="H1514" s="1427"/>
      <c r="N1514" s="1727"/>
    </row>
    <row r="1515" spans="1:14" x14ac:dyDescent="0.2">
      <c r="A1515" s="1424"/>
      <c r="B1515" s="1427"/>
      <c r="C1515" s="1430"/>
      <c r="D1515" s="1427"/>
      <c r="E1515" s="1427"/>
      <c r="F1515" s="1427"/>
      <c r="G1515" s="1427"/>
      <c r="H1515" s="1427"/>
      <c r="N1515" s="1727"/>
    </row>
    <row r="1516" spans="1:14" x14ac:dyDescent="0.2">
      <c r="A1516" s="1424"/>
      <c r="B1516" s="1427"/>
      <c r="C1516" s="1430"/>
      <c r="D1516" s="1427"/>
      <c r="E1516" s="1427"/>
      <c r="F1516" s="1427"/>
      <c r="G1516" s="1427"/>
      <c r="H1516" s="1427"/>
      <c r="N1516" s="1727"/>
    </row>
    <row r="1517" spans="1:14" x14ac:dyDescent="0.2">
      <c r="A1517" s="1424"/>
      <c r="B1517" s="1427"/>
      <c r="C1517" s="1430"/>
      <c r="D1517" s="1427"/>
      <c r="E1517" s="1427"/>
      <c r="F1517" s="1427"/>
      <c r="G1517" s="1427"/>
      <c r="H1517" s="1427"/>
      <c r="N1517" s="1727"/>
    </row>
    <row r="1518" spans="1:14" x14ac:dyDescent="0.2">
      <c r="A1518" s="1424"/>
      <c r="B1518" s="1427"/>
      <c r="C1518" s="1430"/>
      <c r="D1518" s="1427"/>
      <c r="E1518" s="1427"/>
      <c r="F1518" s="1427"/>
      <c r="G1518" s="1427"/>
      <c r="H1518" s="1427"/>
      <c r="N1518" s="1727"/>
    </row>
    <row r="1519" spans="1:14" x14ac:dyDescent="0.2">
      <c r="A1519" s="1424"/>
      <c r="B1519" s="1427"/>
      <c r="C1519" s="1430"/>
      <c r="D1519" s="1427"/>
      <c r="E1519" s="1427"/>
      <c r="F1519" s="1427"/>
      <c r="G1519" s="1427"/>
      <c r="H1519" s="1427"/>
      <c r="N1519" s="1727"/>
    </row>
    <row r="1520" spans="1:14" x14ac:dyDescent="0.2">
      <c r="A1520" s="1424"/>
      <c r="B1520" s="1427"/>
      <c r="C1520" s="1430"/>
      <c r="D1520" s="1427"/>
      <c r="E1520" s="1427"/>
      <c r="F1520" s="1427"/>
      <c r="G1520" s="1427"/>
      <c r="H1520" s="1427"/>
      <c r="N1520" s="1727"/>
    </row>
    <row r="1521" spans="1:14" x14ac:dyDescent="0.2">
      <c r="A1521" s="1424"/>
      <c r="B1521" s="1427"/>
      <c r="C1521" s="1430"/>
      <c r="D1521" s="1427"/>
      <c r="E1521" s="1427"/>
      <c r="F1521" s="1427"/>
      <c r="G1521" s="1427"/>
      <c r="H1521" s="1427"/>
      <c r="N1521" s="1727"/>
    </row>
    <row r="1522" spans="1:14" x14ac:dyDescent="0.2">
      <c r="A1522" s="1424"/>
      <c r="B1522" s="1427"/>
      <c r="C1522" s="1430"/>
      <c r="D1522" s="1427"/>
      <c r="E1522" s="1427"/>
      <c r="F1522" s="1427"/>
      <c r="G1522" s="1427"/>
      <c r="H1522" s="1427"/>
      <c r="N1522" s="1727"/>
    </row>
    <row r="1523" spans="1:14" x14ac:dyDescent="0.2">
      <c r="A1523" s="1424"/>
      <c r="B1523" s="1427"/>
      <c r="C1523" s="1430"/>
      <c r="D1523" s="1427"/>
      <c r="E1523" s="1427"/>
      <c r="F1523" s="1427"/>
      <c r="G1523" s="1427"/>
      <c r="H1523" s="1427"/>
      <c r="N1523" s="1727"/>
    </row>
    <row r="1524" spans="1:14" x14ac:dyDescent="0.2">
      <c r="A1524" s="1424"/>
      <c r="B1524" s="1427"/>
      <c r="C1524" s="1430"/>
      <c r="D1524" s="1427"/>
      <c r="E1524" s="1427"/>
      <c r="F1524" s="1427"/>
      <c r="G1524" s="1427"/>
      <c r="H1524" s="1427"/>
      <c r="N1524" s="1727"/>
    </row>
    <row r="1525" spans="1:14" x14ac:dyDescent="0.2">
      <c r="A1525" s="1424"/>
      <c r="B1525" s="1427"/>
      <c r="C1525" s="1430"/>
      <c r="D1525" s="1427"/>
      <c r="E1525" s="1427"/>
      <c r="F1525" s="1427"/>
      <c r="G1525" s="1427"/>
      <c r="H1525" s="1427"/>
      <c r="N1525" s="1727"/>
    </row>
    <row r="1526" spans="1:14" x14ac:dyDescent="0.2">
      <c r="A1526" s="1424"/>
      <c r="B1526" s="1427"/>
      <c r="C1526" s="1430"/>
      <c r="D1526" s="1427"/>
      <c r="E1526" s="1427"/>
      <c r="F1526" s="1427"/>
      <c r="G1526" s="1427"/>
      <c r="H1526" s="1427"/>
      <c r="N1526" s="1727"/>
    </row>
    <row r="1527" spans="1:14" x14ac:dyDescent="0.2">
      <c r="A1527" s="1424"/>
      <c r="B1527" s="1427"/>
      <c r="C1527" s="1430"/>
      <c r="D1527" s="1427"/>
      <c r="E1527" s="1427"/>
      <c r="F1527" s="1427"/>
      <c r="G1527" s="1427"/>
      <c r="H1527" s="1427"/>
      <c r="N1527" s="1727"/>
    </row>
    <row r="1528" spans="1:14" x14ac:dyDescent="0.2">
      <c r="A1528" s="1424"/>
      <c r="B1528" s="1427"/>
      <c r="C1528" s="1430"/>
      <c r="D1528" s="1427"/>
      <c r="E1528" s="1427"/>
      <c r="F1528" s="1427"/>
      <c r="G1528" s="1427"/>
      <c r="H1528" s="1427"/>
      <c r="N1528" s="1727"/>
    </row>
    <row r="1529" spans="1:14" x14ac:dyDescent="0.2">
      <c r="A1529" s="1424"/>
      <c r="B1529" s="1427"/>
      <c r="C1529" s="1430"/>
      <c r="D1529" s="1427"/>
      <c r="E1529" s="1427"/>
      <c r="F1529" s="1427"/>
      <c r="G1529" s="1427"/>
      <c r="H1529" s="1427"/>
      <c r="N1529" s="1727"/>
    </row>
    <row r="1530" spans="1:14" x14ac:dyDescent="0.2">
      <c r="A1530" s="1424"/>
      <c r="B1530" s="1427"/>
      <c r="C1530" s="1430"/>
      <c r="D1530" s="1427"/>
      <c r="E1530" s="1427"/>
      <c r="F1530" s="1427"/>
      <c r="G1530" s="1427"/>
      <c r="H1530" s="1427"/>
      <c r="N1530" s="1727"/>
    </row>
    <row r="1531" spans="1:14" x14ac:dyDescent="0.2">
      <c r="A1531" s="1424"/>
      <c r="B1531" s="1427"/>
      <c r="C1531" s="1430"/>
      <c r="D1531" s="1427"/>
      <c r="E1531" s="1427"/>
      <c r="F1531" s="1427"/>
      <c r="G1531" s="1427"/>
      <c r="H1531" s="1427"/>
      <c r="N1531" s="1727"/>
    </row>
    <row r="1532" spans="1:14" x14ac:dyDescent="0.2">
      <c r="A1532" s="1424"/>
      <c r="B1532" s="1427"/>
      <c r="C1532" s="1430"/>
      <c r="D1532" s="1427"/>
      <c r="E1532" s="1427"/>
      <c r="F1532" s="1427"/>
      <c r="G1532" s="1427"/>
      <c r="H1532" s="1427"/>
      <c r="N1532" s="1727"/>
    </row>
    <row r="1533" spans="1:14" x14ac:dyDescent="0.2">
      <c r="A1533" s="1424"/>
      <c r="B1533" s="1427"/>
      <c r="C1533" s="1430"/>
      <c r="D1533" s="1427"/>
      <c r="E1533" s="1427"/>
      <c r="F1533" s="1427"/>
      <c r="G1533" s="1427"/>
      <c r="H1533" s="1427"/>
      <c r="N1533" s="1727"/>
    </row>
    <row r="1534" spans="1:14" x14ac:dyDescent="0.2">
      <c r="A1534" s="1424"/>
      <c r="B1534" s="1427"/>
      <c r="C1534" s="1430"/>
      <c r="D1534" s="1427"/>
      <c r="E1534" s="1427"/>
      <c r="F1534" s="1427"/>
      <c r="G1534" s="1427"/>
      <c r="H1534" s="1427"/>
      <c r="N1534" s="1727"/>
    </row>
    <row r="1535" spans="1:14" x14ac:dyDescent="0.2">
      <c r="A1535" s="1424"/>
      <c r="B1535" s="1427"/>
      <c r="C1535" s="1430"/>
      <c r="D1535" s="1427"/>
      <c r="E1535" s="1427"/>
      <c r="F1535" s="1427"/>
      <c r="G1535" s="1427"/>
      <c r="H1535" s="1427"/>
      <c r="N1535" s="1727"/>
    </row>
    <row r="1536" spans="1:14" x14ac:dyDescent="0.2">
      <c r="A1536" s="1424"/>
      <c r="B1536" s="1427"/>
      <c r="C1536" s="1430"/>
      <c r="D1536" s="1427"/>
      <c r="E1536" s="1427"/>
      <c r="F1536" s="1427"/>
      <c r="G1536" s="1427"/>
      <c r="H1536" s="1427"/>
      <c r="N1536" s="1727"/>
    </row>
    <row r="1537" spans="1:14" x14ac:dyDescent="0.2">
      <c r="A1537" s="1424"/>
      <c r="B1537" s="1427"/>
      <c r="C1537" s="1430"/>
      <c r="D1537" s="1427"/>
      <c r="E1537" s="1427"/>
      <c r="F1537" s="1427"/>
      <c r="G1537" s="1427"/>
      <c r="H1537" s="1427"/>
      <c r="N1537" s="1727"/>
    </row>
    <row r="1538" spans="1:14" x14ac:dyDescent="0.2">
      <c r="A1538" s="1424"/>
      <c r="B1538" s="1427"/>
      <c r="C1538" s="1430"/>
      <c r="D1538" s="1427"/>
      <c r="E1538" s="1427"/>
      <c r="F1538" s="1427"/>
      <c r="G1538" s="1427"/>
      <c r="H1538" s="1427"/>
      <c r="N1538" s="1727"/>
    </row>
    <row r="1539" spans="1:14" x14ac:dyDescent="0.2">
      <c r="A1539" s="1424"/>
      <c r="B1539" s="1427"/>
      <c r="C1539" s="1430"/>
      <c r="D1539" s="1427"/>
      <c r="E1539" s="1427"/>
      <c r="F1539" s="1427"/>
      <c r="G1539" s="1427"/>
      <c r="H1539" s="1427"/>
      <c r="N1539" s="1727"/>
    </row>
    <row r="1540" spans="1:14" x14ac:dyDescent="0.2">
      <c r="A1540" s="1424"/>
      <c r="B1540" s="1427"/>
      <c r="C1540" s="1430"/>
      <c r="D1540" s="1427"/>
      <c r="E1540" s="1427"/>
      <c r="F1540" s="1427"/>
      <c r="G1540" s="1427"/>
      <c r="H1540" s="1427"/>
      <c r="N1540" s="1727"/>
    </row>
    <row r="1541" spans="1:14" x14ac:dyDescent="0.2">
      <c r="A1541" s="1424"/>
      <c r="B1541" s="1427"/>
      <c r="C1541" s="1430"/>
      <c r="D1541" s="1427"/>
      <c r="E1541" s="1427"/>
      <c r="F1541" s="1427"/>
      <c r="G1541" s="1427"/>
      <c r="H1541" s="1427"/>
      <c r="N1541" s="1727"/>
    </row>
    <row r="1542" spans="1:14" x14ac:dyDescent="0.2">
      <c r="A1542" s="1424"/>
      <c r="B1542" s="1427"/>
      <c r="C1542" s="1430"/>
      <c r="D1542" s="1427"/>
      <c r="E1542" s="1427"/>
      <c r="F1542" s="1427"/>
      <c r="G1542" s="1427"/>
      <c r="H1542" s="1427"/>
      <c r="N1542" s="1727"/>
    </row>
    <row r="1543" spans="1:14" x14ac:dyDescent="0.2">
      <c r="A1543" s="1424"/>
      <c r="B1543" s="1427"/>
      <c r="C1543" s="1430"/>
      <c r="D1543" s="1427"/>
      <c r="E1543" s="1427"/>
      <c r="F1543" s="1427"/>
      <c r="G1543" s="1427"/>
      <c r="H1543" s="1427"/>
      <c r="N1543" s="1727"/>
    </row>
    <row r="1544" spans="1:14" x14ac:dyDescent="0.2">
      <c r="A1544" s="1424"/>
      <c r="B1544" s="1427"/>
      <c r="C1544" s="1430"/>
      <c r="D1544" s="1427"/>
      <c r="E1544" s="1427"/>
      <c r="F1544" s="1427"/>
      <c r="G1544" s="1427"/>
      <c r="H1544" s="1427"/>
      <c r="N1544" s="1727"/>
    </row>
    <row r="1545" spans="1:14" x14ac:dyDescent="0.2">
      <c r="A1545" s="1424"/>
      <c r="B1545" s="1427"/>
      <c r="C1545" s="1430"/>
      <c r="D1545" s="1427"/>
      <c r="E1545" s="1427"/>
      <c r="F1545" s="1427"/>
      <c r="G1545" s="1427"/>
      <c r="H1545" s="1427"/>
      <c r="N1545" s="1727"/>
    </row>
    <row r="1546" spans="1:14" x14ac:dyDescent="0.2">
      <c r="A1546" s="1424"/>
      <c r="B1546" s="1427"/>
      <c r="C1546" s="1430"/>
      <c r="D1546" s="1427"/>
      <c r="E1546" s="1427"/>
      <c r="F1546" s="1427"/>
      <c r="G1546" s="1427"/>
      <c r="H1546" s="1427"/>
      <c r="N1546" s="1727"/>
    </row>
    <row r="1547" spans="1:14" x14ac:dyDescent="0.2">
      <c r="A1547" s="1424"/>
      <c r="B1547" s="1427"/>
      <c r="C1547" s="1430"/>
      <c r="D1547" s="1427"/>
      <c r="E1547" s="1427"/>
      <c r="F1547" s="1427"/>
      <c r="G1547" s="1427"/>
      <c r="H1547" s="1427"/>
      <c r="N1547" s="1727"/>
    </row>
    <row r="1548" spans="1:14" x14ac:dyDescent="0.2">
      <c r="A1548" s="1424"/>
      <c r="B1548" s="1427"/>
      <c r="C1548" s="1430"/>
      <c r="D1548" s="1427"/>
      <c r="E1548" s="1427"/>
      <c r="F1548" s="1427"/>
      <c r="G1548" s="1427"/>
      <c r="H1548" s="1427"/>
      <c r="N1548" s="1727"/>
    </row>
    <row r="1549" spans="1:14" x14ac:dyDescent="0.2">
      <c r="A1549" s="1424"/>
      <c r="B1549" s="1427"/>
      <c r="C1549" s="1430"/>
      <c r="D1549" s="1427"/>
      <c r="E1549" s="1427"/>
      <c r="F1549" s="1427"/>
      <c r="G1549" s="1427"/>
      <c r="H1549" s="1427"/>
      <c r="N1549" s="1727"/>
    </row>
    <row r="1550" spans="1:14" x14ac:dyDescent="0.2">
      <c r="A1550" s="1424"/>
      <c r="B1550" s="1427"/>
      <c r="C1550" s="1430"/>
      <c r="D1550" s="1427"/>
      <c r="E1550" s="1427"/>
      <c r="F1550" s="1427"/>
      <c r="G1550" s="1427"/>
      <c r="H1550" s="1427"/>
      <c r="N1550" s="1727"/>
    </row>
    <row r="1551" spans="1:14" x14ac:dyDescent="0.2">
      <c r="A1551" s="1424"/>
      <c r="B1551" s="1427"/>
      <c r="C1551" s="1430"/>
      <c r="D1551" s="1427"/>
      <c r="E1551" s="1427"/>
      <c r="F1551" s="1427"/>
      <c r="G1551" s="1427"/>
      <c r="H1551" s="1427"/>
      <c r="N1551" s="1727"/>
    </row>
    <row r="1552" spans="1:14" x14ac:dyDescent="0.2">
      <c r="A1552" s="1424"/>
      <c r="B1552" s="1427"/>
      <c r="C1552" s="1430"/>
      <c r="D1552" s="1427"/>
      <c r="E1552" s="1427"/>
      <c r="F1552" s="1427"/>
      <c r="G1552" s="1427"/>
      <c r="H1552" s="1427"/>
      <c r="N1552" s="1727"/>
    </row>
    <row r="1553" spans="1:14" x14ac:dyDescent="0.2">
      <c r="A1553" s="1424"/>
      <c r="B1553" s="1427"/>
      <c r="C1553" s="1430"/>
      <c r="D1553" s="1427"/>
      <c r="E1553" s="1427"/>
      <c r="F1553" s="1427"/>
      <c r="G1553" s="1427"/>
      <c r="H1553" s="1427"/>
      <c r="N1553" s="1727"/>
    </row>
    <row r="1554" spans="1:14" x14ac:dyDescent="0.2">
      <c r="A1554" s="1424"/>
      <c r="B1554" s="1427"/>
      <c r="C1554" s="1430"/>
      <c r="D1554" s="1427"/>
      <c r="E1554" s="1427"/>
      <c r="F1554" s="1427"/>
      <c r="G1554" s="1427"/>
      <c r="H1554" s="1427"/>
      <c r="N1554" s="1727"/>
    </row>
    <row r="1555" spans="1:14" x14ac:dyDescent="0.2">
      <c r="A1555" s="1424"/>
      <c r="B1555" s="1427"/>
      <c r="C1555" s="1430"/>
      <c r="D1555" s="1427"/>
      <c r="E1555" s="1427"/>
      <c r="F1555" s="1427"/>
      <c r="G1555" s="1427"/>
      <c r="H1555" s="1427"/>
      <c r="N1555" s="1727"/>
    </row>
    <row r="1556" spans="1:14" x14ac:dyDescent="0.2">
      <c r="A1556" s="1424"/>
      <c r="B1556" s="1427"/>
      <c r="C1556" s="1430"/>
      <c r="D1556" s="1427"/>
      <c r="E1556" s="1427"/>
      <c r="F1556" s="1427"/>
      <c r="G1556" s="1427"/>
      <c r="H1556" s="1427"/>
      <c r="N1556" s="1727"/>
    </row>
    <row r="1557" spans="1:14" x14ac:dyDescent="0.2">
      <c r="A1557" s="1424"/>
      <c r="B1557" s="1427"/>
      <c r="C1557" s="1430"/>
      <c r="D1557" s="1427"/>
      <c r="E1557" s="1427"/>
      <c r="F1557" s="1427"/>
      <c r="G1557" s="1427"/>
      <c r="H1557" s="1427"/>
      <c r="N1557" s="1727"/>
    </row>
    <row r="1558" spans="1:14" x14ac:dyDescent="0.2">
      <c r="A1558" s="1424"/>
      <c r="B1558" s="1427"/>
      <c r="C1558" s="1430"/>
      <c r="D1558" s="1427"/>
      <c r="E1558" s="1427"/>
      <c r="F1558" s="1427"/>
      <c r="G1558" s="1427"/>
      <c r="H1558" s="1427"/>
      <c r="N1558" s="1727"/>
    </row>
    <row r="1559" spans="1:14" x14ac:dyDescent="0.2">
      <c r="A1559" s="1424"/>
      <c r="B1559" s="1427"/>
      <c r="C1559" s="1430"/>
      <c r="D1559" s="1427"/>
      <c r="E1559" s="1427"/>
      <c r="F1559" s="1427"/>
      <c r="G1559" s="1427"/>
      <c r="H1559" s="1427"/>
      <c r="N1559" s="1727"/>
    </row>
    <row r="1560" spans="1:14" x14ac:dyDescent="0.2">
      <c r="A1560" s="1424"/>
      <c r="B1560" s="1427"/>
      <c r="C1560" s="1430"/>
      <c r="D1560" s="1427"/>
      <c r="E1560" s="1427"/>
      <c r="F1560" s="1427"/>
      <c r="G1560" s="1427"/>
      <c r="H1560" s="1427"/>
      <c r="N1560" s="1727"/>
    </row>
    <row r="1561" spans="1:14" x14ac:dyDescent="0.2">
      <c r="A1561" s="1424"/>
      <c r="B1561" s="1427"/>
      <c r="C1561" s="1430"/>
      <c r="D1561" s="1427"/>
      <c r="E1561" s="1427"/>
      <c r="F1561" s="1427"/>
      <c r="G1561" s="1427"/>
      <c r="H1561" s="1427"/>
      <c r="N1561" s="1727"/>
    </row>
    <row r="1562" spans="1:14" x14ac:dyDescent="0.2">
      <c r="A1562" s="1424"/>
      <c r="B1562" s="1427"/>
      <c r="C1562" s="1430"/>
      <c r="D1562" s="1427"/>
      <c r="E1562" s="1427"/>
      <c r="F1562" s="1427"/>
      <c r="G1562" s="1427"/>
      <c r="H1562" s="1427"/>
      <c r="N1562" s="1727"/>
    </row>
    <row r="1563" spans="1:14" x14ac:dyDescent="0.2">
      <c r="A1563" s="1424"/>
      <c r="B1563" s="1427"/>
      <c r="C1563" s="1430"/>
      <c r="D1563" s="1427"/>
      <c r="E1563" s="1427"/>
      <c r="F1563" s="1427"/>
      <c r="G1563" s="1427"/>
      <c r="H1563" s="1427"/>
      <c r="N1563" s="1727"/>
    </row>
    <row r="1564" spans="1:14" x14ac:dyDescent="0.2">
      <c r="A1564" s="1424"/>
      <c r="B1564" s="1427"/>
      <c r="C1564" s="1430"/>
      <c r="D1564" s="1427"/>
      <c r="E1564" s="1427"/>
      <c r="F1564" s="1427"/>
      <c r="G1564" s="1427"/>
      <c r="H1564" s="1427"/>
      <c r="N1564" s="1727"/>
    </row>
    <row r="1565" spans="1:14" x14ac:dyDescent="0.2">
      <c r="A1565" s="1424"/>
      <c r="B1565" s="1427"/>
      <c r="C1565" s="1430"/>
      <c r="D1565" s="1427"/>
      <c r="E1565" s="1427"/>
      <c r="F1565" s="1427"/>
      <c r="G1565" s="1427"/>
      <c r="H1565" s="1427"/>
      <c r="N1565" s="1727"/>
    </row>
    <row r="1566" spans="1:14" x14ac:dyDescent="0.2">
      <c r="A1566" s="1424"/>
      <c r="B1566" s="1427"/>
      <c r="C1566" s="1430"/>
      <c r="D1566" s="1427"/>
      <c r="E1566" s="1427"/>
      <c r="F1566" s="1427"/>
      <c r="G1566" s="1427"/>
      <c r="H1566" s="1427"/>
      <c r="N1566" s="1727"/>
    </row>
    <row r="1567" spans="1:14" x14ac:dyDescent="0.2">
      <c r="A1567" s="1424"/>
      <c r="B1567" s="1427"/>
      <c r="C1567" s="1430"/>
      <c r="D1567" s="1427"/>
      <c r="E1567" s="1427"/>
      <c r="F1567" s="1427"/>
      <c r="G1567" s="1427"/>
      <c r="H1567" s="1427"/>
      <c r="N1567" s="1727"/>
    </row>
    <row r="1568" spans="1:14" x14ac:dyDescent="0.2">
      <c r="A1568" s="1424"/>
      <c r="B1568" s="1427"/>
      <c r="C1568" s="1430"/>
      <c r="D1568" s="1427"/>
      <c r="E1568" s="1427"/>
      <c r="F1568" s="1427"/>
      <c r="G1568" s="1427"/>
      <c r="H1568" s="1427"/>
      <c r="N1568" s="1727"/>
    </row>
    <row r="1569" spans="1:14" x14ac:dyDescent="0.2">
      <c r="A1569" s="1424"/>
      <c r="B1569" s="1427"/>
      <c r="C1569" s="1430"/>
      <c r="D1569" s="1427"/>
      <c r="E1569" s="1427"/>
      <c r="F1569" s="1427"/>
      <c r="G1569" s="1427"/>
      <c r="H1569" s="1427"/>
      <c r="N1569" s="1727"/>
    </row>
    <row r="1570" spans="1:14" x14ac:dyDescent="0.2">
      <c r="A1570" s="1424"/>
      <c r="B1570" s="1427"/>
      <c r="C1570" s="1430"/>
      <c r="D1570" s="1427"/>
      <c r="E1570" s="1427"/>
      <c r="F1570" s="1427"/>
      <c r="G1570" s="1427"/>
      <c r="H1570" s="1427"/>
      <c r="N1570" s="1727"/>
    </row>
    <row r="1571" spans="1:14" x14ac:dyDescent="0.2">
      <c r="A1571" s="1424"/>
      <c r="B1571" s="1427"/>
      <c r="C1571" s="1430"/>
      <c r="D1571" s="1427"/>
      <c r="E1571" s="1427"/>
      <c r="F1571" s="1427"/>
      <c r="G1571" s="1427"/>
      <c r="H1571" s="1427"/>
      <c r="N1571" s="1727"/>
    </row>
    <row r="1572" spans="1:14" x14ac:dyDescent="0.2">
      <c r="A1572" s="1424"/>
      <c r="B1572" s="1427"/>
      <c r="C1572" s="1430"/>
      <c r="D1572" s="1427"/>
      <c r="E1572" s="1427"/>
      <c r="F1572" s="1427"/>
      <c r="G1572" s="1427"/>
      <c r="H1572" s="1427"/>
      <c r="N1572" s="1727"/>
    </row>
    <row r="1573" spans="1:14" x14ac:dyDescent="0.2">
      <c r="A1573" s="1424"/>
      <c r="B1573" s="1427"/>
      <c r="C1573" s="1430"/>
      <c r="D1573" s="1427"/>
      <c r="E1573" s="1427"/>
      <c r="F1573" s="1427"/>
      <c r="G1573" s="1427"/>
      <c r="H1573" s="1427"/>
      <c r="N1573" s="1727"/>
    </row>
    <row r="1574" spans="1:14" x14ac:dyDescent="0.2">
      <c r="A1574" s="1424"/>
      <c r="B1574" s="1427"/>
      <c r="C1574" s="1430"/>
      <c r="D1574" s="1427"/>
      <c r="E1574" s="1427"/>
      <c r="F1574" s="1427"/>
      <c r="G1574" s="1427"/>
      <c r="H1574" s="1427"/>
      <c r="N1574" s="1727"/>
    </row>
    <row r="1575" spans="1:14" x14ac:dyDescent="0.2">
      <c r="A1575" s="1424"/>
      <c r="B1575" s="1427"/>
      <c r="C1575" s="1430"/>
      <c r="D1575" s="1427"/>
      <c r="E1575" s="1427"/>
      <c r="F1575" s="1427"/>
      <c r="G1575" s="1427"/>
      <c r="H1575" s="1427"/>
      <c r="N1575" s="1727"/>
    </row>
    <row r="1576" spans="1:14" x14ac:dyDescent="0.2">
      <c r="A1576" s="1424"/>
      <c r="B1576" s="1427"/>
      <c r="C1576" s="1430"/>
      <c r="D1576" s="1427"/>
      <c r="E1576" s="1427"/>
      <c r="F1576" s="1427"/>
      <c r="G1576" s="1427"/>
      <c r="H1576" s="1427"/>
      <c r="N1576" s="1727"/>
    </row>
    <row r="1577" spans="1:14" x14ac:dyDescent="0.2">
      <c r="A1577" s="1424"/>
      <c r="B1577" s="1427"/>
      <c r="C1577" s="1430"/>
      <c r="D1577" s="1427"/>
      <c r="E1577" s="1427"/>
      <c r="F1577" s="1427"/>
      <c r="G1577" s="1427"/>
      <c r="H1577" s="1427"/>
      <c r="N1577" s="1727"/>
    </row>
    <row r="1578" spans="1:14" x14ac:dyDescent="0.2">
      <c r="A1578" s="1424"/>
      <c r="B1578" s="1427"/>
      <c r="C1578" s="1430"/>
      <c r="D1578" s="1427"/>
      <c r="E1578" s="1427"/>
      <c r="F1578" s="1427"/>
      <c r="G1578" s="1427"/>
      <c r="H1578" s="1427"/>
      <c r="N1578" s="1727"/>
    </row>
    <row r="1579" spans="1:14" x14ac:dyDescent="0.2">
      <c r="A1579" s="1424"/>
      <c r="B1579" s="1427"/>
      <c r="C1579" s="1430"/>
      <c r="D1579" s="1427"/>
      <c r="E1579" s="1427"/>
      <c r="F1579" s="1427"/>
      <c r="G1579" s="1427"/>
      <c r="H1579" s="1427"/>
      <c r="N1579" s="1727"/>
    </row>
    <row r="1580" spans="1:14" x14ac:dyDescent="0.2">
      <c r="A1580" s="1424"/>
      <c r="B1580" s="1427"/>
      <c r="C1580" s="1430"/>
      <c r="D1580" s="1427"/>
      <c r="E1580" s="1427"/>
      <c r="F1580" s="1427"/>
      <c r="G1580" s="1427"/>
      <c r="H1580" s="1427"/>
      <c r="N1580" s="1727"/>
    </row>
    <row r="1581" spans="1:14" x14ac:dyDescent="0.2">
      <c r="A1581" s="1424"/>
      <c r="B1581" s="1427"/>
      <c r="C1581" s="1430"/>
      <c r="D1581" s="1427"/>
      <c r="E1581" s="1427"/>
      <c r="F1581" s="1427"/>
      <c r="G1581" s="1427"/>
      <c r="H1581" s="1427"/>
      <c r="N1581" s="1727"/>
    </row>
    <row r="1582" spans="1:14" x14ac:dyDescent="0.2">
      <c r="A1582" s="1424"/>
      <c r="B1582" s="1427"/>
      <c r="C1582" s="1430"/>
      <c r="D1582" s="1427"/>
      <c r="E1582" s="1427"/>
      <c r="F1582" s="1427"/>
      <c r="G1582" s="1427"/>
      <c r="H1582" s="1427"/>
      <c r="N1582" s="1727"/>
    </row>
    <row r="1583" spans="1:14" x14ac:dyDescent="0.2">
      <c r="A1583" s="1424"/>
      <c r="B1583" s="1427"/>
      <c r="C1583" s="1430"/>
      <c r="D1583" s="1427"/>
      <c r="E1583" s="1427"/>
      <c r="F1583" s="1427"/>
      <c r="G1583" s="1427"/>
      <c r="H1583" s="1427"/>
      <c r="N1583" s="1727"/>
    </row>
    <row r="1584" spans="1:14" x14ac:dyDescent="0.2">
      <c r="A1584" s="1424"/>
      <c r="B1584" s="1427"/>
      <c r="C1584" s="1430"/>
      <c r="D1584" s="1427"/>
      <c r="E1584" s="1427"/>
      <c r="F1584" s="1427"/>
      <c r="G1584" s="1427"/>
      <c r="H1584" s="1427"/>
      <c r="N1584" s="1727"/>
    </row>
    <row r="1585" spans="1:14" x14ac:dyDescent="0.2">
      <c r="A1585" s="1424"/>
      <c r="B1585" s="1427"/>
      <c r="C1585" s="1430"/>
      <c r="D1585" s="1427"/>
      <c r="E1585" s="1427"/>
      <c r="F1585" s="1427"/>
      <c r="G1585" s="1427"/>
      <c r="H1585" s="1427"/>
      <c r="N1585" s="1727"/>
    </row>
    <row r="1586" spans="1:14" x14ac:dyDescent="0.2">
      <c r="A1586" s="1424"/>
      <c r="B1586" s="1427"/>
      <c r="C1586" s="1430"/>
      <c r="D1586" s="1427"/>
      <c r="E1586" s="1427"/>
      <c r="F1586" s="1427"/>
      <c r="G1586" s="1427"/>
      <c r="H1586" s="1427"/>
      <c r="N1586" s="1727"/>
    </row>
    <row r="1587" spans="1:14" x14ac:dyDescent="0.2">
      <c r="A1587" s="1424"/>
      <c r="B1587" s="1427"/>
      <c r="C1587" s="1430"/>
      <c r="D1587" s="1427"/>
      <c r="E1587" s="1427"/>
      <c r="F1587" s="1427"/>
      <c r="G1587" s="1427"/>
      <c r="H1587" s="1427"/>
      <c r="N1587" s="1727"/>
    </row>
    <row r="1588" spans="1:14" x14ac:dyDescent="0.2">
      <c r="A1588" s="1424"/>
      <c r="B1588" s="1427"/>
      <c r="C1588" s="1430"/>
      <c r="D1588" s="1427"/>
      <c r="E1588" s="1427"/>
      <c r="F1588" s="1427"/>
      <c r="G1588" s="1427"/>
      <c r="H1588" s="1427"/>
      <c r="N1588" s="1727"/>
    </row>
    <row r="1589" spans="1:14" x14ac:dyDescent="0.2">
      <c r="A1589" s="1424"/>
      <c r="B1589" s="1427"/>
      <c r="C1589" s="1430"/>
      <c r="D1589" s="1427"/>
      <c r="E1589" s="1427"/>
      <c r="F1589" s="1427"/>
      <c r="G1589" s="1427"/>
      <c r="H1589" s="1427"/>
      <c r="N1589" s="1727"/>
    </row>
    <row r="1590" spans="1:14" x14ac:dyDescent="0.2">
      <c r="A1590" s="1424"/>
      <c r="B1590" s="1427"/>
      <c r="C1590" s="1430"/>
      <c r="D1590" s="1427"/>
      <c r="E1590" s="1427"/>
      <c r="F1590" s="1427"/>
      <c r="G1590" s="1427"/>
      <c r="H1590" s="1427"/>
      <c r="N1590" s="1727"/>
    </row>
    <row r="1591" spans="1:14" x14ac:dyDescent="0.2">
      <c r="A1591" s="1424"/>
      <c r="B1591" s="1427"/>
      <c r="C1591" s="1430"/>
      <c r="D1591" s="1427"/>
      <c r="E1591" s="1427"/>
      <c r="F1591" s="1427"/>
      <c r="G1591" s="1427"/>
      <c r="H1591" s="1427"/>
      <c r="N1591" s="1727"/>
    </row>
    <row r="1592" spans="1:14" x14ac:dyDescent="0.2">
      <c r="A1592" s="1424"/>
      <c r="B1592" s="1427"/>
      <c r="C1592" s="1430"/>
      <c r="D1592" s="1427"/>
      <c r="E1592" s="1427"/>
      <c r="F1592" s="1427"/>
      <c r="G1592" s="1427"/>
      <c r="H1592" s="1427"/>
      <c r="N1592" s="1727"/>
    </row>
    <row r="1593" spans="1:14" x14ac:dyDescent="0.2">
      <c r="A1593" s="1424"/>
      <c r="B1593" s="1427"/>
      <c r="C1593" s="1430"/>
      <c r="D1593" s="1427"/>
      <c r="E1593" s="1427"/>
      <c r="F1593" s="1427"/>
      <c r="G1593" s="1427"/>
      <c r="H1593" s="1427"/>
      <c r="N1593" s="1727"/>
    </row>
    <row r="1594" spans="1:14" x14ac:dyDescent="0.2">
      <c r="A1594" s="1424"/>
      <c r="B1594" s="1427"/>
      <c r="C1594" s="1430"/>
      <c r="D1594" s="1427"/>
      <c r="E1594" s="1427"/>
      <c r="F1594" s="1427"/>
      <c r="G1594" s="1427"/>
      <c r="H1594" s="1427"/>
      <c r="N1594" s="1727"/>
    </row>
    <row r="1595" spans="1:14" x14ac:dyDescent="0.2">
      <c r="A1595" s="1424"/>
      <c r="B1595" s="1427"/>
      <c r="C1595" s="1430"/>
      <c r="D1595" s="1427"/>
      <c r="E1595" s="1427"/>
      <c r="F1595" s="1427"/>
      <c r="G1595" s="1427"/>
      <c r="H1595" s="1427"/>
      <c r="N1595" s="1727"/>
    </row>
    <row r="1596" spans="1:14" x14ac:dyDescent="0.2">
      <c r="A1596" s="1424"/>
      <c r="B1596" s="1427"/>
      <c r="C1596" s="1430"/>
      <c r="D1596" s="1427"/>
      <c r="E1596" s="1427"/>
      <c r="F1596" s="1427"/>
      <c r="G1596" s="1427"/>
      <c r="H1596" s="1427"/>
      <c r="N1596" s="1727"/>
    </row>
    <row r="1597" spans="1:14" x14ac:dyDescent="0.2">
      <c r="A1597" s="1424"/>
      <c r="B1597" s="1427"/>
      <c r="C1597" s="1430"/>
      <c r="D1597" s="1427"/>
      <c r="E1597" s="1427"/>
      <c r="F1597" s="1427"/>
      <c r="G1597" s="1427"/>
      <c r="H1597" s="1427"/>
      <c r="N1597" s="1727"/>
    </row>
    <row r="1598" spans="1:14" x14ac:dyDescent="0.2">
      <c r="A1598" s="1424"/>
      <c r="B1598" s="1427"/>
      <c r="C1598" s="1430"/>
      <c r="D1598" s="1427"/>
      <c r="E1598" s="1427"/>
      <c r="F1598" s="1427"/>
      <c r="G1598" s="1427"/>
      <c r="H1598" s="1427"/>
      <c r="N1598" s="1727"/>
    </row>
    <row r="1599" spans="1:14" x14ac:dyDescent="0.2">
      <c r="A1599" s="1424"/>
      <c r="B1599" s="1427"/>
      <c r="C1599" s="1430"/>
      <c r="D1599" s="1427"/>
      <c r="E1599" s="1427"/>
      <c r="F1599" s="1427"/>
      <c r="G1599" s="1427"/>
      <c r="H1599" s="1427"/>
      <c r="N1599" s="1727"/>
    </row>
    <row r="1600" spans="1:14" x14ac:dyDescent="0.2">
      <c r="A1600" s="1424"/>
      <c r="B1600" s="1427"/>
      <c r="C1600" s="1430"/>
      <c r="D1600" s="1427"/>
      <c r="E1600" s="1427"/>
      <c r="F1600" s="1427"/>
      <c r="G1600" s="1427"/>
      <c r="H1600" s="1427"/>
      <c r="N1600" s="1727"/>
    </row>
    <row r="1601" spans="1:14" x14ac:dyDescent="0.2">
      <c r="A1601" s="1424"/>
      <c r="B1601" s="1427"/>
      <c r="C1601" s="1430"/>
      <c r="D1601" s="1427"/>
      <c r="E1601" s="1427"/>
      <c r="F1601" s="1427"/>
      <c r="G1601" s="1427"/>
      <c r="H1601" s="1427"/>
      <c r="N1601" s="1727"/>
    </row>
    <row r="1602" spans="1:14" x14ac:dyDescent="0.2">
      <c r="A1602" s="1424"/>
      <c r="B1602" s="1427"/>
      <c r="C1602" s="1430"/>
      <c r="D1602" s="1427"/>
      <c r="E1602" s="1427"/>
      <c r="F1602" s="1427"/>
      <c r="G1602" s="1427"/>
      <c r="H1602" s="1427"/>
      <c r="N1602" s="1727"/>
    </row>
    <row r="1603" spans="1:14" x14ac:dyDescent="0.2">
      <c r="A1603" s="1424"/>
      <c r="B1603" s="1427"/>
      <c r="C1603" s="1430"/>
      <c r="D1603" s="1427"/>
      <c r="E1603" s="1427"/>
      <c r="F1603" s="1427"/>
      <c r="G1603" s="1427"/>
      <c r="H1603" s="1427"/>
      <c r="N1603" s="1727"/>
    </row>
    <row r="1604" spans="1:14" x14ac:dyDescent="0.2">
      <c r="A1604" s="1424"/>
      <c r="B1604" s="1427"/>
      <c r="C1604" s="1430"/>
      <c r="D1604" s="1427"/>
      <c r="E1604" s="1427"/>
      <c r="F1604" s="1427"/>
      <c r="G1604" s="1427"/>
      <c r="H1604" s="1427"/>
      <c r="N1604" s="1727"/>
    </row>
    <row r="1605" spans="1:14" x14ac:dyDescent="0.2">
      <c r="A1605" s="1424"/>
      <c r="B1605" s="1427"/>
      <c r="C1605" s="1430"/>
      <c r="D1605" s="1427"/>
      <c r="E1605" s="1427"/>
      <c r="F1605" s="1427"/>
      <c r="G1605" s="1427"/>
      <c r="H1605" s="1427"/>
      <c r="N1605" s="1727"/>
    </row>
    <row r="1606" spans="1:14" x14ac:dyDescent="0.2">
      <c r="A1606" s="1424"/>
      <c r="B1606" s="1427"/>
      <c r="C1606" s="1430"/>
      <c r="D1606" s="1427"/>
      <c r="E1606" s="1427"/>
      <c r="F1606" s="1427"/>
      <c r="G1606" s="1427"/>
      <c r="H1606" s="1427"/>
      <c r="N1606" s="1727"/>
    </row>
    <row r="1607" spans="1:14" x14ac:dyDescent="0.2">
      <c r="A1607" s="1424"/>
      <c r="B1607" s="1427"/>
      <c r="C1607" s="1430"/>
      <c r="D1607" s="1427"/>
      <c r="E1607" s="1427"/>
      <c r="F1607" s="1427"/>
      <c r="G1607" s="1427"/>
      <c r="H1607" s="1427"/>
      <c r="N1607" s="1727"/>
    </row>
    <row r="1608" spans="1:14" x14ac:dyDescent="0.2">
      <c r="A1608" s="1424"/>
      <c r="B1608" s="1427"/>
      <c r="C1608" s="1430"/>
      <c r="D1608" s="1427"/>
      <c r="E1608" s="1427"/>
      <c r="F1608" s="1427"/>
      <c r="G1608" s="1427"/>
      <c r="H1608" s="1427"/>
      <c r="N1608" s="1727"/>
    </row>
    <row r="1609" spans="1:14" x14ac:dyDescent="0.2">
      <c r="A1609" s="1424"/>
      <c r="B1609" s="1427"/>
      <c r="C1609" s="1430"/>
      <c r="D1609" s="1427"/>
      <c r="E1609" s="1427"/>
      <c r="F1609" s="1427"/>
      <c r="G1609" s="1427"/>
      <c r="H1609" s="1427"/>
      <c r="N1609" s="1727"/>
    </row>
    <row r="1610" spans="1:14" x14ac:dyDescent="0.2">
      <c r="A1610" s="1424"/>
      <c r="B1610" s="1427"/>
      <c r="C1610" s="1430"/>
      <c r="D1610" s="1427"/>
      <c r="E1610" s="1427"/>
      <c r="F1610" s="1427"/>
      <c r="G1610" s="1427"/>
      <c r="H1610" s="1427"/>
      <c r="N1610" s="1727"/>
    </row>
    <row r="1611" spans="1:14" x14ac:dyDescent="0.2">
      <c r="A1611" s="1424"/>
      <c r="B1611" s="1427"/>
      <c r="C1611" s="1430"/>
      <c r="D1611" s="1427"/>
      <c r="E1611" s="1427"/>
      <c r="F1611" s="1427"/>
      <c r="G1611" s="1427"/>
      <c r="H1611" s="1427"/>
      <c r="N1611" s="1727"/>
    </row>
    <row r="1612" spans="1:14" x14ac:dyDescent="0.2">
      <c r="A1612" s="1424"/>
      <c r="B1612" s="1427"/>
      <c r="C1612" s="1430"/>
      <c r="D1612" s="1427"/>
      <c r="E1612" s="1427"/>
      <c r="F1612" s="1427"/>
      <c r="G1612" s="1427"/>
      <c r="H1612" s="1427"/>
      <c r="N1612" s="1727"/>
    </row>
    <row r="1613" spans="1:14" x14ac:dyDescent="0.2">
      <c r="A1613" s="1424"/>
      <c r="B1613" s="1427"/>
      <c r="C1613" s="1430"/>
      <c r="D1613" s="1427"/>
      <c r="E1613" s="1427"/>
      <c r="F1613" s="1427"/>
      <c r="G1613" s="1427"/>
      <c r="H1613" s="1427"/>
      <c r="N1613" s="1727"/>
    </row>
    <row r="1614" spans="1:14" x14ac:dyDescent="0.2">
      <c r="A1614" s="1424"/>
      <c r="B1614" s="1427"/>
      <c r="C1614" s="1430"/>
      <c r="D1614" s="1427"/>
      <c r="E1614" s="1427"/>
      <c r="F1614" s="1427"/>
      <c r="G1614" s="1427"/>
      <c r="H1614" s="1427"/>
      <c r="N1614" s="1727"/>
    </row>
    <row r="1615" spans="1:14" x14ac:dyDescent="0.2">
      <c r="A1615" s="1424"/>
      <c r="B1615" s="1427"/>
      <c r="C1615" s="1430"/>
      <c r="D1615" s="1427"/>
      <c r="E1615" s="1427"/>
      <c r="F1615" s="1427"/>
      <c r="G1615" s="1427"/>
      <c r="H1615" s="1427"/>
      <c r="N1615" s="1727"/>
    </row>
    <row r="1616" spans="1:14" x14ac:dyDescent="0.2">
      <c r="A1616" s="1424"/>
      <c r="B1616" s="1427"/>
      <c r="C1616" s="1430"/>
      <c r="D1616" s="1427"/>
      <c r="E1616" s="1427"/>
      <c r="F1616" s="1427"/>
      <c r="G1616" s="1427"/>
      <c r="H1616" s="1427"/>
      <c r="N1616" s="1727"/>
    </row>
    <row r="1617" spans="1:14" x14ac:dyDescent="0.2">
      <c r="A1617" s="1424"/>
      <c r="B1617" s="1427"/>
      <c r="C1617" s="1430"/>
      <c r="D1617" s="1427"/>
      <c r="E1617" s="1427"/>
      <c r="F1617" s="1427"/>
      <c r="G1617" s="1427"/>
      <c r="H1617" s="1427"/>
      <c r="N1617" s="1727"/>
    </row>
    <row r="1618" spans="1:14" x14ac:dyDescent="0.2">
      <c r="A1618" s="1424"/>
      <c r="B1618" s="1427"/>
      <c r="C1618" s="1430"/>
      <c r="D1618" s="1427"/>
      <c r="E1618" s="1427"/>
      <c r="F1618" s="1427"/>
      <c r="G1618" s="1427"/>
      <c r="H1618" s="1427"/>
      <c r="N1618" s="1727"/>
    </row>
    <row r="1619" spans="1:14" x14ac:dyDescent="0.2">
      <c r="A1619" s="1424"/>
      <c r="B1619" s="1427"/>
      <c r="C1619" s="1430"/>
      <c r="D1619" s="1427"/>
      <c r="E1619" s="1427"/>
      <c r="F1619" s="1427"/>
      <c r="G1619" s="1427"/>
      <c r="H1619" s="1427"/>
      <c r="N1619" s="1727"/>
    </row>
    <row r="1620" spans="1:14" x14ac:dyDescent="0.2">
      <c r="A1620" s="1424"/>
      <c r="B1620" s="1427"/>
      <c r="C1620" s="1430"/>
      <c r="D1620" s="1427"/>
      <c r="E1620" s="1427"/>
      <c r="F1620" s="1427"/>
      <c r="G1620" s="1427"/>
      <c r="H1620" s="1427"/>
      <c r="N1620" s="1727"/>
    </row>
    <row r="1621" spans="1:14" x14ac:dyDescent="0.2">
      <c r="A1621" s="1424"/>
      <c r="B1621" s="1427"/>
      <c r="C1621" s="1430"/>
      <c r="D1621" s="1427"/>
      <c r="E1621" s="1427"/>
      <c r="F1621" s="1427"/>
      <c r="G1621" s="1427"/>
      <c r="H1621" s="1427"/>
      <c r="N1621" s="1727"/>
    </row>
    <row r="1622" spans="1:14" x14ac:dyDescent="0.2">
      <c r="A1622" s="1424"/>
      <c r="B1622" s="1427"/>
      <c r="C1622" s="1430"/>
      <c r="D1622" s="1427"/>
      <c r="E1622" s="1427"/>
      <c r="F1622" s="1427"/>
      <c r="G1622" s="1427"/>
      <c r="H1622" s="1427"/>
      <c r="N1622" s="1727"/>
    </row>
    <row r="1623" spans="1:14" x14ac:dyDescent="0.2">
      <c r="A1623" s="1424"/>
      <c r="B1623" s="1427"/>
      <c r="C1623" s="1430"/>
      <c r="D1623" s="1427"/>
      <c r="E1623" s="1427"/>
      <c r="F1623" s="1427"/>
      <c r="G1623" s="1427"/>
      <c r="H1623" s="1427"/>
      <c r="N1623" s="1727"/>
    </row>
    <row r="1624" spans="1:14" x14ac:dyDescent="0.2">
      <c r="A1624" s="1424"/>
      <c r="B1624" s="1427"/>
      <c r="C1624" s="1430"/>
      <c r="D1624" s="1427"/>
      <c r="E1624" s="1427"/>
      <c r="F1624" s="1427"/>
      <c r="G1624" s="1427"/>
      <c r="H1624" s="1427"/>
      <c r="N1624" s="1727"/>
    </row>
    <row r="1625" spans="1:14" x14ac:dyDescent="0.2">
      <c r="A1625" s="1424"/>
      <c r="B1625" s="1427"/>
      <c r="C1625" s="1430"/>
      <c r="D1625" s="1427"/>
      <c r="E1625" s="1427"/>
      <c r="F1625" s="1427"/>
      <c r="G1625" s="1427"/>
      <c r="H1625" s="1427"/>
      <c r="N1625" s="1727"/>
    </row>
    <row r="1626" spans="1:14" x14ac:dyDescent="0.2">
      <c r="A1626" s="1424"/>
      <c r="B1626" s="1427"/>
      <c r="C1626" s="1430"/>
      <c r="D1626" s="1427"/>
      <c r="E1626" s="1427"/>
      <c r="F1626" s="1427"/>
      <c r="G1626" s="1427"/>
      <c r="H1626" s="1427"/>
      <c r="N1626" s="1727"/>
    </row>
    <row r="1627" spans="1:14" x14ac:dyDescent="0.2">
      <c r="A1627" s="1424"/>
      <c r="B1627" s="1427"/>
      <c r="C1627" s="1430"/>
      <c r="D1627" s="1427"/>
      <c r="E1627" s="1427"/>
      <c r="F1627" s="1427"/>
      <c r="G1627" s="1427"/>
      <c r="H1627" s="1427"/>
      <c r="N1627" s="1727"/>
    </row>
    <row r="1628" spans="1:14" x14ac:dyDescent="0.2">
      <c r="A1628" s="1424"/>
      <c r="B1628" s="1427"/>
      <c r="C1628" s="1430"/>
      <c r="D1628" s="1427"/>
      <c r="E1628" s="1427"/>
      <c r="F1628" s="1427"/>
      <c r="G1628" s="1427"/>
      <c r="H1628" s="1427"/>
      <c r="N1628" s="1727"/>
    </row>
    <row r="1629" spans="1:14" x14ac:dyDescent="0.2">
      <c r="A1629" s="1424"/>
      <c r="B1629" s="1427"/>
      <c r="C1629" s="1430"/>
      <c r="D1629" s="1427"/>
      <c r="E1629" s="1427"/>
      <c r="F1629" s="1427"/>
      <c r="G1629" s="1427"/>
      <c r="H1629" s="1427"/>
      <c r="N1629" s="1727"/>
    </row>
    <row r="1630" spans="1:14" x14ac:dyDescent="0.2">
      <c r="A1630" s="1424"/>
      <c r="B1630" s="1427"/>
      <c r="C1630" s="1430"/>
      <c r="D1630" s="1427"/>
      <c r="E1630" s="1427"/>
      <c r="F1630" s="1427"/>
      <c r="G1630" s="1427"/>
      <c r="H1630" s="1427"/>
      <c r="N1630" s="1727"/>
    </row>
    <row r="1631" spans="1:14" x14ac:dyDescent="0.2">
      <c r="A1631" s="1424"/>
      <c r="B1631" s="1427"/>
      <c r="C1631" s="1430"/>
      <c r="D1631" s="1427"/>
      <c r="E1631" s="1427"/>
      <c r="F1631" s="1427"/>
      <c r="G1631" s="1427"/>
      <c r="H1631" s="1427"/>
      <c r="N1631" s="1727"/>
    </row>
    <row r="1632" spans="1:14" x14ac:dyDescent="0.2">
      <c r="A1632" s="1424"/>
      <c r="B1632" s="1427"/>
      <c r="C1632" s="1430"/>
      <c r="D1632" s="1427"/>
      <c r="E1632" s="1427"/>
      <c r="F1632" s="1427"/>
      <c r="G1632" s="1427"/>
      <c r="H1632" s="1427"/>
      <c r="N1632" s="1727"/>
    </row>
    <row r="1633" spans="1:14" x14ac:dyDescent="0.2">
      <c r="A1633" s="1424"/>
      <c r="B1633" s="1427"/>
      <c r="C1633" s="1430"/>
      <c r="D1633" s="1427"/>
      <c r="E1633" s="1427"/>
      <c r="F1633" s="1427"/>
      <c r="G1633" s="1427"/>
      <c r="H1633" s="1427"/>
      <c r="N1633" s="1727"/>
    </row>
    <row r="1634" spans="1:14" x14ac:dyDescent="0.2">
      <c r="A1634" s="1424"/>
      <c r="B1634" s="1427"/>
      <c r="C1634" s="1430"/>
      <c r="D1634" s="1427"/>
      <c r="E1634" s="1427"/>
      <c r="F1634" s="1427"/>
      <c r="G1634" s="1427"/>
      <c r="H1634" s="1427"/>
      <c r="N1634" s="1727"/>
    </row>
    <row r="1635" spans="1:14" x14ac:dyDescent="0.2">
      <c r="A1635" s="1424"/>
      <c r="B1635" s="1427"/>
      <c r="C1635" s="1430"/>
      <c r="D1635" s="1427"/>
      <c r="E1635" s="1427"/>
      <c r="F1635" s="1427"/>
      <c r="G1635" s="1427"/>
      <c r="H1635" s="1427"/>
      <c r="N1635" s="1727"/>
    </row>
    <row r="1636" spans="1:14" x14ac:dyDescent="0.2">
      <c r="A1636" s="1424"/>
      <c r="B1636" s="1427"/>
      <c r="C1636" s="1430"/>
      <c r="D1636" s="1427"/>
      <c r="E1636" s="1427"/>
      <c r="F1636" s="1427"/>
      <c r="G1636" s="1427"/>
      <c r="H1636" s="1427"/>
      <c r="N1636" s="1727"/>
    </row>
    <row r="1637" spans="1:14" x14ac:dyDescent="0.2">
      <c r="A1637" s="1424"/>
      <c r="B1637" s="1427"/>
      <c r="C1637" s="1430"/>
      <c r="D1637" s="1427"/>
      <c r="E1637" s="1427"/>
      <c r="F1637" s="1427"/>
      <c r="G1637" s="1427"/>
      <c r="H1637" s="1427"/>
      <c r="N1637" s="1727"/>
    </row>
    <row r="1638" spans="1:14" x14ac:dyDescent="0.2">
      <c r="A1638" s="1424"/>
      <c r="B1638" s="1427"/>
      <c r="C1638" s="1430"/>
      <c r="D1638" s="1427"/>
      <c r="E1638" s="1427"/>
      <c r="F1638" s="1427"/>
      <c r="G1638" s="1427"/>
      <c r="H1638" s="1427"/>
      <c r="N1638" s="1727"/>
    </row>
    <row r="1639" spans="1:14" x14ac:dyDescent="0.2">
      <c r="A1639" s="1424"/>
      <c r="B1639" s="1427"/>
      <c r="C1639" s="1430"/>
      <c r="D1639" s="1427"/>
      <c r="E1639" s="1427"/>
      <c r="F1639" s="1427"/>
      <c r="G1639" s="1427"/>
      <c r="H1639" s="1427"/>
      <c r="N1639" s="1727"/>
    </row>
    <row r="1640" spans="1:14" x14ac:dyDescent="0.2">
      <c r="A1640" s="1424"/>
      <c r="B1640" s="1427"/>
      <c r="C1640" s="1430"/>
      <c r="D1640" s="1427"/>
      <c r="E1640" s="1427"/>
      <c r="F1640" s="1427"/>
      <c r="G1640" s="1427"/>
      <c r="H1640" s="1427"/>
      <c r="N1640" s="1727"/>
    </row>
    <row r="1641" spans="1:14" x14ac:dyDescent="0.2">
      <c r="A1641" s="1424"/>
      <c r="B1641" s="1427"/>
      <c r="C1641" s="1430"/>
      <c r="D1641" s="1427"/>
      <c r="E1641" s="1427"/>
      <c r="F1641" s="1427"/>
      <c r="G1641" s="1427"/>
      <c r="H1641" s="1427"/>
      <c r="N1641" s="1727"/>
    </row>
    <row r="1642" spans="1:14" x14ac:dyDescent="0.2">
      <c r="A1642" s="1424"/>
      <c r="B1642" s="1427"/>
      <c r="C1642" s="1430"/>
      <c r="D1642" s="1427"/>
      <c r="E1642" s="1427"/>
      <c r="F1642" s="1427"/>
      <c r="G1642" s="1427"/>
      <c r="H1642" s="1427"/>
      <c r="N1642" s="1727"/>
    </row>
    <row r="1643" spans="1:14" x14ac:dyDescent="0.2">
      <c r="A1643" s="1424"/>
      <c r="B1643" s="1427"/>
      <c r="C1643" s="1430"/>
      <c r="D1643" s="1427"/>
      <c r="E1643" s="1427"/>
      <c r="F1643" s="1427"/>
      <c r="G1643" s="1427"/>
      <c r="H1643" s="1427"/>
      <c r="N1643" s="1727"/>
    </row>
    <row r="1644" spans="1:14" x14ac:dyDescent="0.2">
      <c r="A1644" s="1424"/>
      <c r="B1644" s="1427"/>
      <c r="C1644" s="1430"/>
      <c r="D1644" s="1427"/>
      <c r="E1644" s="1427"/>
      <c r="F1644" s="1427"/>
      <c r="G1644" s="1427"/>
      <c r="H1644" s="1427"/>
      <c r="N1644" s="1727"/>
    </row>
    <row r="1645" spans="1:14" x14ac:dyDescent="0.2">
      <c r="A1645" s="1424"/>
      <c r="B1645" s="1427"/>
      <c r="C1645" s="1430"/>
      <c r="D1645" s="1427"/>
      <c r="E1645" s="1427"/>
      <c r="F1645" s="1427"/>
      <c r="G1645" s="1427"/>
      <c r="H1645" s="1427"/>
      <c r="N1645" s="1727"/>
    </row>
    <row r="1646" spans="1:14" x14ac:dyDescent="0.2">
      <c r="A1646" s="1424"/>
      <c r="B1646" s="1427"/>
      <c r="C1646" s="1430"/>
      <c r="D1646" s="1427"/>
      <c r="E1646" s="1427"/>
      <c r="F1646" s="1427"/>
      <c r="G1646" s="1427"/>
      <c r="H1646" s="1427"/>
      <c r="N1646" s="1727"/>
    </row>
    <row r="1647" spans="1:14" x14ac:dyDescent="0.2">
      <c r="A1647" s="1424"/>
      <c r="B1647" s="1427"/>
      <c r="C1647" s="1430"/>
      <c r="D1647" s="1427"/>
      <c r="E1647" s="1427"/>
      <c r="F1647" s="1427"/>
      <c r="G1647" s="1427"/>
      <c r="H1647" s="1427"/>
      <c r="N1647" s="1727"/>
    </row>
    <row r="1648" spans="1:14" x14ac:dyDescent="0.2">
      <c r="A1648" s="1424"/>
      <c r="B1648" s="1427"/>
      <c r="C1648" s="1430"/>
      <c r="D1648" s="1427"/>
      <c r="E1648" s="1427"/>
      <c r="F1648" s="1427"/>
      <c r="G1648" s="1427"/>
      <c r="H1648" s="1427"/>
      <c r="N1648" s="1727"/>
    </row>
    <row r="1649" spans="1:14" x14ac:dyDescent="0.2">
      <c r="A1649" s="1424"/>
      <c r="B1649" s="1427"/>
      <c r="C1649" s="1430"/>
      <c r="D1649" s="1427"/>
      <c r="E1649" s="1427"/>
      <c r="F1649" s="1427"/>
      <c r="G1649" s="1427"/>
      <c r="H1649" s="1427"/>
      <c r="N1649" s="1727"/>
    </row>
    <row r="1650" spans="1:14" x14ac:dyDescent="0.2">
      <c r="A1650" s="1424"/>
      <c r="B1650" s="1427"/>
      <c r="C1650" s="1430"/>
      <c r="D1650" s="1427"/>
      <c r="E1650" s="1427"/>
      <c r="F1650" s="1427"/>
      <c r="G1650" s="1427"/>
      <c r="H1650" s="1427"/>
      <c r="N1650" s="1727"/>
    </row>
    <row r="1651" spans="1:14" x14ac:dyDescent="0.2">
      <c r="A1651" s="1424"/>
      <c r="B1651" s="1427"/>
      <c r="C1651" s="1430"/>
      <c r="D1651" s="1427"/>
      <c r="E1651" s="1427"/>
      <c r="F1651" s="1427"/>
      <c r="G1651" s="1427"/>
      <c r="H1651" s="1427"/>
      <c r="N1651" s="1727"/>
    </row>
    <row r="1652" spans="1:14" x14ac:dyDescent="0.2">
      <c r="A1652" s="1424"/>
      <c r="B1652" s="1427"/>
      <c r="C1652" s="1430"/>
      <c r="D1652" s="1427"/>
      <c r="E1652" s="1427"/>
      <c r="F1652" s="1427"/>
      <c r="G1652" s="1427"/>
      <c r="H1652" s="1427"/>
      <c r="N1652" s="1727"/>
    </row>
    <row r="1653" spans="1:14" x14ac:dyDescent="0.2">
      <c r="A1653" s="1424"/>
      <c r="B1653" s="1427"/>
      <c r="C1653" s="1430"/>
      <c r="D1653" s="1427"/>
      <c r="E1653" s="1427"/>
      <c r="F1653" s="1427"/>
      <c r="G1653" s="1427"/>
      <c r="H1653" s="1427"/>
      <c r="N1653" s="1727"/>
    </row>
    <row r="1654" spans="1:14" x14ac:dyDescent="0.2">
      <c r="A1654" s="1424"/>
      <c r="B1654" s="1427"/>
      <c r="C1654" s="1430"/>
      <c r="D1654" s="1427"/>
      <c r="E1654" s="1427"/>
      <c r="F1654" s="1427"/>
      <c r="G1654" s="1427"/>
      <c r="H1654" s="1427"/>
      <c r="N1654" s="1727"/>
    </row>
    <row r="1655" spans="1:14" x14ac:dyDescent="0.2">
      <c r="A1655" s="1424"/>
      <c r="B1655" s="1427"/>
      <c r="C1655" s="1430"/>
      <c r="D1655" s="1427"/>
      <c r="E1655" s="1427"/>
      <c r="F1655" s="1427"/>
      <c r="G1655" s="1427"/>
      <c r="H1655" s="1427"/>
      <c r="N1655" s="1727"/>
    </row>
    <row r="1656" spans="1:14" x14ac:dyDescent="0.2">
      <c r="A1656" s="1424"/>
      <c r="B1656" s="1427"/>
      <c r="C1656" s="1430"/>
      <c r="D1656" s="1427"/>
      <c r="E1656" s="1427"/>
      <c r="F1656" s="1427"/>
      <c r="G1656" s="1427"/>
      <c r="H1656" s="1427"/>
      <c r="N1656" s="1727"/>
    </row>
    <row r="1657" spans="1:14" x14ac:dyDescent="0.2">
      <c r="A1657" s="1424"/>
      <c r="B1657" s="1427"/>
      <c r="C1657" s="1430"/>
      <c r="D1657" s="1427"/>
      <c r="E1657" s="1427"/>
      <c r="F1657" s="1427"/>
      <c r="G1657" s="1427"/>
      <c r="H1657" s="1427"/>
      <c r="N1657" s="1727"/>
    </row>
    <row r="1658" spans="1:14" x14ac:dyDescent="0.2">
      <c r="A1658" s="1424"/>
      <c r="B1658" s="1427"/>
      <c r="C1658" s="1430"/>
      <c r="D1658" s="1427"/>
      <c r="E1658" s="1427"/>
      <c r="F1658" s="1427"/>
      <c r="G1658" s="1427"/>
      <c r="H1658" s="1427"/>
      <c r="N1658" s="1727"/>
    </row>
    <row r="1659" spans="1:14" x14ac:dyDescent="0.2">
      <c r="A1659" s="1424"/>
      <c r="B1659" s="1427"/>
      <c r="C1659" s="1430"/>
      <c r="D1659" s="1427"/>
      <c r="E1659" s="1427"/>
      <c r="F1659" s="1427"/>
      <c r="G1659" s="1427"/>
      <c r="H1659" s="1427"/>
      <c r="N1659" s="1727"/>
    </row>
    <row r="1660" spans="1:14" x14ac:dyDescent="0.2">
      <c r="A1660" s="1424"/>
      <c r="B1660" s="1427"/>
      <c r="C1660" s="1430"/>
      <c r="D1660" s="1427"/>
      <c r="E1660" s="1427"/>
      <c r="F1660" s="1427"/>
      <c r="G1660" s="1427"/>
      <c r="H1660" s="1427"/>
      <c r="N1660" s="1727"/>
    </row>
    <row r="1661" spans="1:14" x14ac:dyDescent="0.2">
      <c r="A1661" s="1424"/>
      <c r="B1661" s="1427"/>
      <c r="C1661" s="1430"/>
      <c r="D1661" s="1427"/>
      <c r="E1661" s="1427"/>
      <c r="F1661" s="1427"/>
      <c r="G1661" s="1427"/>
      <c r="H1661" s="1427"/>
      <c r="N1661" s="1727"/>
    </row>
    <row r="1662" spans="1:14" x14ac:dyDescent="0.2">
      <c r="A1662" s="1424"/>
      <c r="B1662" s="1427"/>
      <c r="C1662" s="1430"/>
      <c r="D1662" s="1427"/>
      <c r="E1662" s="1427"/>
      <c r="F1662" s="1427"/>
      <c r="G1662" s="1427"/>
      <c r="H1662" s="1427"/>
      <c r="N1662" s="1727"/>
    </row>
    <row r="1663" spans="1:14" x14ac:dyDescent="0.2">
      <c r="A1663" s="1424"/>
      <c r="B1663" s="1427"/>
      <c r="C1663" s="1430"/>
      <c r="D1663" s="1427"/>
      <c r="E1663" s="1427"/>
      <c r="F1663" s="1427"/>
      <c r="G1663" s="1427"/>
      <c r="H1663" s="1427"/>
      <c r="N1663" s="1727"/>
    </row>
    <row r="1664" spans="1:14" x14ac:dyDescent="0.2">
      <c r="A1664" s="1424"/>
      <c r="B1664" s="1427"/>
      <c r="C1664" s="1430"/>
      <c r="D1664" s="1427"/>
      <c r="E1664" s="1427"/>
      <c r="F1664" s="1427"/>
      <c r="G1664" s="1427"/>
      <c r="H1664" s="1427"/>
      <c r="N1664" s="1727"/>
    </row>
    <row r="1665" spans="1:14" x14ac:dyDescent="0.2">
      <c r="A1665" s="1424"/>
      <c r="B1665" s="1427"/>
      <c r="C1665" s="1430"/>
      <c r="D1665" s="1427"/>
      <c r="E1665" s="1427"/>
      <c r="F1665" s="1427"/>
      <c r="G1665" s="1427"/>
      <c r="H1665" s="1427"/>
      <c r="N1665" s="1727"/>
    </row>
    <row r="1666" spans="1:14" x14ac:dyDescent="0.2">
      <c r="A1666" s="1424"/>
      <c r="B1666" s="1427"/>
      <c r="C1666" s="1430"/>
      <c r="D1666" s="1427"/>
      <c r="E1666" s="1427"/>
      <c r="F1666" s="1427"/>
      <c r="G1666" s="1427"/>
      <c r="H1666" s="1427"/>
      <c r="N1666" s="1727"/>
    </row>
    <row r="1667" spans="1:14" x14ac:dyDescent="0.2">
      <c r="A1667" s="1424"/>
      <c r="B1667" s="1427"/>
      <c r="C1667" s="1430"/>
      <c r="D1667" s="1427"/>
      <c r="E1667" s="1427"/>
      <c r="F1667" s="1427"/>
      <c r="G1667" s="1427"/>
      <c r="H1667" s="1427"/>
      <c r="N1667" s="1727"/>
    </row>
    <row r="1668" spans="1:14" x14ac:dyDescent="0.2">
      <c r="A1668" s="1424"/>
      <c r="B1668" s="1427"/>
      <c r="C1668" s="1430"/>
      <c r="D1668" s="1427"/>
      <c r="E1668" s="1427"/>
      <c r="F1668" s="1427"/>
      <c r="G1668" s="1427"/>
      <c r="H1668" s="1427"/>
      <c r="N1668" s="1727"/>
    </row>
    <row r="1669" spans="1:14" x14ac:dyDescent="0.2">
      <c r="A1669" s="1424"/>
      <c r="B1669" s="1427"/>
      <c r="C1669" s="1430"/>
      <c r="D1669" s="1427"/>
      <c r="E1669" s="1427"/>
      <c r="F1669" s="1427"/>
      <c r="G1669" s="1427"/>
      <c r="H1669" s="1427"/>
      <c r="N1669" s="1727"/>
    </row>
    <row r="1670" spans="1:14" x14ac:dyDescent="0.2">
      <c r="A1670" s="1424"/>
      <c r="B1670" s="1427"/>
      <c r="C1670" s="1430"/>
      <c r="D1670" s="1427"/>
      <c r="E1670" s="1427"/>
      <c r="F1670" s="1427"/>
      <c r="G1670" s="1427"/>
      <c r="H1670" s="1427"/>
      <c r="N1670" s="1727"/>
    </row>
    <row r="1671" spans="1:14" x14ac:dyDescent="0.2">
      <c r="A1671" s="1424"/>
      <c r="B1671" s="1427"/>
      <c r="C1671" s="1430"/>
      <c r="D1671" s="1427"/>
      <c r="E1671" s="1427"/>
      <c r="F1671" s="1427"/>
      <c r="G1671" s="1427"/>
      <c r="H1671" s="1427"/>
      <c r="N1671" s="1727"/>
    </row>
    <row r="1672" spans="1:14" x14ac:dyDescent="0.2">
      <c r="A1672" s="1424"/>
      <c r="B1672" s="1427"/>
      <c r="C1672" s="1430"/>
      <c r="D1672" s="1427"/>
      <c r="E1672" s="1427"/>
      <c r="F1672" s="1427"/>
      <c r="G1672" s="1427"/>
      <c r="H1672" s="1427"/>
      <c r="N1672" s="1727"/>
    </row>
    <row r="1673" spans="1:14" x14ac:dyDescent="0.2">
      <c r="A1673" s="1424"/>
      <c r="B1673" s="1427"/>
      <c r="C1673" s="1430"/>
      <c r="D1673" s="1427"/>
      <c r="E1673" s="1427"/>
      <c r="F1673" s="1427"/>
      <c r="G1673" s="1427"/>
      <c r="H1673" s="1427"/>
      <c r="N1673" s="1727"/>
    </row>
    <row r="1674" spans="1:14" x14ac:dyDescent="0.2">
      <c r="A1674" s="1424"/>
      <c r="B1674" s="1427"/>
      <c r="C1674" s="1430"/>
      <c r="D1674" s="1427"/>
      <c r="E1674" s="1427"/>
      <c r="F1674" s="1427"/>
      <c r="G1674" s="1427"/>
      <c r="H1674" s="1427"/>
      <c r="N1674" s="1727"/>
    </row>
    <row r="1675" spans="1:14" x14ac:dyDescent="0.2">
      <c r="A1675" s="1424"/>
      <c r="B1675" s="1427"/>
      <c r="C1675" s="1430"/>
      <c r="D1675" s="1427"/>
      <c r="E1675" s="1427"/>
      <c r="F1675" s="1427"/>
      <c r="G1675" s="1427"/>
      <c r="H1675" s="1427"/>
      <c r="N1675" s="1727"/>
    </row>
    <row r="1676" spans="1:14" x14ac:dyDescent="0.2">
      <c r="A1676" s="1424"/>
      <c r="B1676" s="1427"/>
      <c r="C1676" s="1430"/>
      <c r="D1676" s="1427"/>
      <c r="E1676" s="1427"/>
      <c r="F1676" s="1427"/>
      <c r="G1676" s="1427"/>
      <c r="H1676" s="1427"/>
      <c r="N1676" s="1727"/>
    </row>
    <row r="1677" spans="1:14" x14ac:dyDescent="0.2">
      <c r="A1677" s="1424"/>
      <c r="B1677" s="1427"/>
      <c r="C1677" s="1430"/>
      <c r="D1677" s="1427"/>
      <c r="E1677" s="1427"/>
      <c r="F1677" s="1427"/>
      <c r="G1677" s="1427"/>
      <c r="H1677" s="1427"/>
      <c r="N1677" s="1727"/>
    </row>
    <row r="1678" spans="1:14" x14ac:dyDescent="0.2">
      <c r="A1678" s="1424"/>
      <c r="B1678" s="1427"/>
      <c r="C1678" s="1430"/>
      <c r="D1678" s="1427"/>
      <c r="E1678" s="1427"/>
      <c r="F1678" s="1427"/>
      <c r="G1678" s="1427"/>
      <c r="H1678" s="1427"/>
      <c r="N1678" s="1727"/>
    </row>
    <row r="1679" spans="1:14" x14ac:dyDescent="0.2">
      <c r="A1679" s="1424"/>
      <c r="B1679" s="1427"/>
      <c r="C1679" s="1430"/>
      <c r="D1679" s="1427"/>
      <c r="E1679" s="1427"/>
      <c r="F1679" s="1427"/>
      <c r="G1679" s="1427"/>
      <c r="H1679" s="1427"/>
      <c r="N1679" s="1727"/>
    </row>
    <row r="1680" spans="1:14" x14ac:dyDescent="0.2">
      <c r="A1680" s="1424"/>
      <c r="B1680" s="1427"/>
      <c r="C1680" s="1430"/>
      <c r="D1680" s="1427"/>
      <c r="E1680" s="1427"/>
      <c r="F1680" s="1427"/>
      <c r="G1680" s="1427"/>
      <c r="H1680" s="1427"/>
      <c r="N1680" s="1727"/>
    </row>
    <row r="1681" spans="1:14" x14ac:dyDescent="0.2">
      <c r="A1681" s="1424"/>
      <c r="B1681" s="1427"/>
      <c r="C1681" s="1430"/>
      <c r="D1681" s="1427"/>
      <c r="E1681" s="1427"/>
      <c r="F1681" s="1427"/>
      <c r="G1681" s="1427"/>
      <c r="H1681" s="1427"/>
      <c r="N1681" s="1727"/>
    </row>
    <row r="1682" spans="1:14" x14ac:dyDescent="0.2">
      <c r="A1682" s="1424"/>
      <c r="B1682" s="1427"/>
      <c r="C1682" s="1430"/>
      <c r="D1682" s="1427"/>
      <c r="E1682" s="1427"/>
      <c r="F1682" s="1427"/>
      <c r="G1682" s="1427"/>
      <c r="H1682" s="1427"/>
      <c r="N1682" s="1727"/>
    </row>
    <row r="1683" spans="1:14" x14ac:dyDescent="0.2">
      <c r="A1683" s="1424"/>
      <c r="B1683" s="1427"/>
      <c r="C1683" s="1430"/>
      <c r="D1683" s="1427"/>
      <c r="E1683" s="1427"/>
      <c r="F1683" s="1427"/>
      <c r="G1683" s="1427"/>
      <c r="H1683" s="1427"/>
      <c r="N1683" s="1727"/>
    </row>
    <row r="1684" spans="1:14" x14ac:dyDescent="0.2">
      <c r="A1684" s="1424"/>
      <c r="B1684" s="1427"/>
      <c r="C1684" s="1430"/>
      <c r="D1684" s="1427"/>
      <c r="E1684" s="1427"/>
      <c r="F1684" s="1427"/>
      <c r="G1684" s="1427"/>
      <c r="H1684" s="1427"/>
      <c r="N1684" s="1727"/>
    </row>
    <row r="1685" spans="1:14" x14ac:dyDescent="0.2">
      <c r="A1685" s="1424"/>
      <c r="B1685" s="1427"/>
      <c r="C1685" s="1430"/>
      <c r="D1685" s="1427"/>
      <c r="E1685" s="1427"/>
      <c r="F1685" s="1427"/>
      <c r="G1685" s="1427"/>
      <c r="H1685" s="1427"/>
      <c r="N1685" s="1727"/>
    </row>
    <row r="1686" spans="1:14" x14ac:dyDescent="0.2">
      <c r="A1686" s="1424"/>
      <c r="B1686" s="1427"/>
      <c r="C1686" s="1430"/>
      <c r="D1686" s="1427"/>
      <c r="E1686" s="1427"/>
      <c r="F1686" s="1427"/>
      <c r="G1686" s="1427"/>
      <c r="H1686" s="1427"/>
      <c r="N1686" s="1727"/>
    </row>
    <row r="1687" spans="1:14" x14ac:dyDescent="0.2">
      <c r="A1687" s="1424"/>
      <c r="B1687" s="1427"/>
      <c r="C1687" s="1430"/>
      <c r="D1687" s="1427"/>
      <c r="E1687" s="1427"/>
      <c r="F1687" s="1427"/>
      <c r="G1687" s="1427"/>
      <c r="H1687" s="1427"/>
      <c r="N1687" s="1727"/>
    </row>
    <row r="1688" spans="1:14" x14ac:dyDescent="0.2">
      <c r="A1688" s="1424"/>
      <c r="B1688" s="1427"/>
      <c r="C1688" s="1430"/>
      <c r="D1688" s="1427"/>
      <c r="E1688" s="1427"/>
      <c r="F1688" s="1427"/>
      <c r="G1688" s="1427"/>
      <c r="H1688" s="1427"/>
      <c r="N1688" s="1727"/>
    </row>
    <row r="1689" spans="1:14" x14ac:dyDescent="0.2">
      <c r="A1689" s="1424"/>
      <c r="B1689" s="1427"/>
      <c r="C1689" s="1430"/>
      <c r="D1689" s="1427"/>
      <c r="E1689" s="1427"/>
      <c r="F1689" s="1427"/>
      <c r="G1689" s="1427"/>
      <c r="H1689" s="1427"/>
      <c r="N1689" s="1727"/>
    </row>
    <row r="1690" spans="1:14" x14ac:dyDescent="0.2">
      <c r="A1690" s="1424"/>
      <c r="B1690" s="1427"/>
      <c r="C1690" s="1430"/>
      <c r="D1690" s="1427"/>
      <c r="E1690" s="1427"/>
      <c r="F1690" s="1427"/>
      <c r="G1690" s="1427"/>
      <c r="H1690" s="1427"/>
      <c r="N1690" s="1727"/>
    </row>
    <row r="1691" spans="1:14" x14ac:dyDescent="0.2">
      <c r="A1691" s="1424"/>
      <c r="B1691" s="1427"/>
      <c r="C1691" s="1430"/>
      <c r="D1691" s="1427"/>
      <c r="E1691" s="1427"/>
      <c r="F1691" s="1427"/>
      <c r="G1691" s="1427"/>
      <c r="H1691" s="1427"/>
      <c r="N1691" s="1727"/>
    </row>
    <row r="1692" spans="1:14" x14ac:dyDescent="0.2">
      <c r="A1692" s="1424"/>
      <c r="B1692" s="1427"/>
      <c r="C1692" s="1430"/>
      <c r="D1692" s="1427"/>
      <c r="E1692" s="1427"/>
      <c r="F1692" s="1427"/>
      <c r="G1692" s="1427"/>
      <c r="H1692" s="1427"/>
      <c r="N1692" s="1727"/>
    </row>
    <row r="1693" spans="1:14" x14ac:dyDescent="0.2">
      <c r="A1693" s="1424"/>
      <c r="B1693" s="1427"/>
      <c r="C1693" s="1430"/>
      <c r="D1693" s="1427"/>
      <c r="E1693" s="1427"/>
      <c r="F1693" s="1427"/>
      <c r="G1693" s="1427"/>
      <c r="H1693" s="1427"/>
      <c r="N1693" s="1727"/>
    </row>
    <row r="1694" spans="1:14" x14ac:dyDescent="0.2">
      <c r="A1694" s="1424"/>
      <c r="B1694" s="1427"/>
      <c r="C1694" s="1430"/>
      <c r="D1694" s="1427"/>
      <c r="E1694" s="1427"/>
      <c r="F1694" s="1427"/>
      <c r="G1694" s="1427"/>
      <c r="H1694" s="1427"/>
      <c r="N1694" s="1727"/>
    </row>
    <row r="1695" spans="1:14" x14ac:dyDescent="0.2">
      <c r="A1695" s="1424"/>
      <c r="B1695" s="1427"/>
      <c r="C1695" s="1430"/>
      <c r="D1695" s="1427"/>
      <c r="E1695" s="1427"/>
      <c r="F1695" s="1427"/>
      <c r="G1695" s="1427"/>
      <c r="H1695" s="1427"/>
      <c r="N1695" s="1727"/>
    </row>
    <row r="1696" spans="1:14" x14ac:dyDescent="0.2">
      <c r="A1696" s="1424"/>
      <c r="B1696" s="1427"/>
      <c r="C1696" s="1430"/>
      <c r="D1696" s="1427"/>
      <c r="E1696" s="1427"/>
      <c r="F1696" s="1427"/>
      <c r="G1696" s="1427"/>
      <c r="H1696" s="1427"/>
      <c r="N1696" s="1727"/>
    </row>
    <row r="1697" spans="1:14" x14ac:dyDescent="0.2">
      <c r="A1697" s="1424"/>
      <c r="B1697" s="1427"/>
      <c r="C1697" s="1430"/>
      <c r="D1697" s="1427"/>
      <c r="E1697" s="1427"/>
      <c r="F1697" s="1427"/>
      <c r="G1697" s="1427"/>
      <c r="H1697" s="1427"/>
      <c r="N1697" s="1727"/>
    </row>
    <row r="1698" spans="1:14" x14ac:dyDescent="0.2">
      <c r="A1698" s="1424"/>
      <c r="B1698" s="1427"/>
      <c r="C1698" s="1430"/>
      <c r="D1698" s="1427"/>
      <c r="E1698" s="1427"/>
      <c r="F1698" s="1427"/>
      <c r="G1698" s="1427"/>
      <c r="H1698" s="1427"/>
      <c r="N1698" s="1727"/>
    </row>
    <row r="1699" spans="1:14" x14ac:dyDescent="0.2">
      <c r="A1699" s="1424"/>
      <c r="B1699" s="1427"/>
      <c r="C1699" s="1430"/>
      <c r="D1699" s="1427"/>
      <c r="E1699" s="1427"/>
      <c r="F1699" s="1427"/>
      <c r="G1699" s="1427"/>
      <c r="H1699" s="1427"/>
      <c r="N1699" s="1727"/>
    </row>
    <row r="1700" spans="1:14" x14ac:dyDescent="0.2">
      <c r="A1700" s="1424"/>
      <c r="B1700" s="1427"/>
      <c r="C1700" s="1430"/>
      <c r="D1700" s="1427"/>
      <c r="E1700" s="1427"/>
      <c r="F1700" s="1427"/>
      <c r="G1700" s="1427"/>
      <c r="H1700" s="1427"/>
      <c r="N1700" s="1727"/>
    </row>
    <row r="1701" spans="1:14" x14ac:dyDescent="0.2">
      <c r="A1701" s="1424"/>
      <c r="B1701" s="1427"/>
      <c r="C1701" s="1430"/>
      <c r="D1701" s="1427"/>
      <c r="E1701" s="1427"/>
      <c r="F1701" s="1427"/>
      <c r="G1701" s="1427"/>
      <c r="H1701" s="1427"/>
      <c r="N1701" s="1727"/>
    </row>
    <row r="1702" spans="1:14" x14ac:dyDescent="0.2">
      <c r="A1702" s="1424"/>
      <c r="B1702" s="1427"/>
      <c r="C1702" s="1430"/>
      <c r="D1702" s="1427"/>
      <c r="E1702" s="1427"/>
      <c r="F1702" s="1427"/>
      <c r="G1702" s="1427"/>
      <c r="H1702" s="1427"/>
      <c r="N1702" s="1727"/>
    </row>
    <row r="1703" spans="1:14" x14ac:dyDescent="0.2">
      <c r="A1703" s="1424"/>
      <c r="B1703" s="1427"/>
      <c r="C1703" s="1430"/>
      <c r="D1703" s="1427"/>
      <c r="E1703" s="1427"/>
      <c r="F1703" s="1427"/>
      <c r="G1703" s="1427"/>
      <c r="H1703" s="1427"/>
      <c r="N1703" s="1727"/>
    </row>
    <row r="1704" spans="1:14" x14ac:dyDescent="0.2">
      <c r="A1704" s="1424"/>
      <c r="B1704" s="1427"/>
      <c r="C1704" s="1430"/>
      <c r="D1704" s="1427"/>
      <c r="E1704" s="1427"/>
      <c r="F1704" s="1427"/>
      <c r="G1704" s="1427"/>
      <c r="H1704" s="1427"/>
      <c r="N1704" s="1727"/>
    </row>
    <row r="1705" spans="1:14" x14ac:dyDescent="0.2">
      <c r="A1705" s="1424"/>
      <c r="B1705" s="1427"/>
      <c r="C1705" s="1430"/>
      <c r="D1705" s="1427"/>
      <c r="E1705" s="1427"/>
      <c r="F1705" s="1427"/>
      <c r="G1705" s="1427"/>
      <c r="H1705" s="1427"/>
      <c r="N1705" s="1727"/>
    </row>
    <row r="1706" spans="1:14" x14ac:dyDescent="0.2">
      <c r="A1706" s="1424"/>
      <c r="B1706" s="1427"/>
      <c r="C1706" s="1430"/>
      <c r="D1706" s="1427"/>
      <c r="E1706" s="1427"/>
      <c r="F1706" s="1427"/>
      <c r="G1706" s="1427"/>
      <c r="H1706" s="1427"/>
      <c r="N1706" s="1727"/>
    </row>
    <row r="1707" spans="1:14" x14ac:dyDescent="0.2">
      <c r="A1707" s="1424"/>
      <c r="B1707" s="1427"/>
      <c r="C1707" s="1430"/>
      <c r="D1707" s="1427"/>
      <c r="E1707" s="1427"/>
      <c r="F1707" s="1427"/>
      <c r="G1707" s="1427"/>
      <c r="H1707" s="1427"/>
      <c r="N1707" s="1727"/>
    </row>
    <row r="1708" spans="1:14" x14ac:dyDescent="0.2">
      <c r="A1708" s="1424"/>
      <c r="B1708" s="1427"/>
      <c r="C1708" s="1430"/>
      <c r="D1708" s="1427"/>
      <c r="E1708" s="1427"/>
      <c r="F1708" s="1427"/>
      <c r="G1708" s="1427"/>
      <c r="H1708" s="1427"/>
      <c r="N1708" s="1727"/>
    </row>
    <row r="1709" spans="1:14" x14ac:dyDescent="0.2">
      <c r="A1709" s="1424"/>
      <c r="B1709" s="1427"/>
      <c r="C1709" s="1430"/>
      <c r="D1709" s="1427"/>
      <c r="E1709" s="1427"/>
      <c r="F1709" s="1427"/>
      <c r="G1709" s="1427"/>
      <c r="H1709" s="1427"/>
      <c r="N1709" s="1727"/>
    </row>
    <row r="1710" spans="1:14" x14ac:dyDescent="0.2">
      <c r="A1710" s="1424"/>
      <c r="B1710" s="1427"/>
      <c r="C1710" s="1430"/>
      <c r="D1710" s="1427"/>
      <c r="E1710" s="1427"/>
      <c r="F1710" s="1427"/>
      <c r="G1710" s="1427"/>
      <c r="H1710" s="1427"/>
      <c r="N1710" s="1727"/>
    </row>
    <row r="1711" spans="1:14" x14ac:dyDescent="0.2">
      <c r="A1711" s="1424"/>
      <c r="B1711" s="1427"/>
      <c r="C1711" s="1430"/>
      <c r="D1711" s="1427"/>
      <c r="E1711" s="1427"/>
      <c r="F1711" s="1427"/>
      <c r="G1711" s="1427"/>
      <c r="H1711" s="1427"/>
      <c r="N1711" s="1727"/>
    </row>
    <row r="1712" spans="1:14" x14ac:dyDescent="0.2">
      <c r="A1712" s="1424"/>
      <c r="B1712" s="1427"/>
      <c r="C1712" s="1430"/>
      <c r="D1712" s="1427"/>
      <c r="E1712" s="1427"/>
      <c r="F1712" s="1427"/>
      <c r="G1712" s="1427"/>
      <c r="H1712" s="1427"/>
      <c r="N1712" s="1727"/>
    </row>
    <row r="1713" spans="1:14" x14ac:dyDescent="0.2">
      <c r="A1713" s="1424"/>
      <c r="B1713" s="1427"/>
      <c r="C1713" s="1430"/>
      <c r="D1713" s="1427"/>
      <c r="E1713" s="1427"/>
      <c r="F1713" s="1427"/>
      <c r="G1713" s="1427"/>
      <c r="H1713" s="1427"/>
      <c r="N1713" s="1727"/>
    </row>
    <row r="1714" spans="1:14" x14ac:dyDescent="0.2">
      <c r="A1714" s="1424"/>
      <c r="B1714" s="1427"/>
      <c r="C1714" s="1430"/>
      <c r="D1714" s="1427"/>
      <c r="E1714" s="1427"/>
      <c r="F1714" s="1427"/>
      <c r="G1714" s="1427"/>
      <c r="H1714" s="1427"/>
      <c r="N1714" s="1727"/>
    </row>
    <row r="1715" spans="1:14" x14ac:dyDescent="0.2">
      <c r="A1715" s="1424"/>
      <c r="B1715" s="1427"/>
      <c r="C1715" s="1430"/>
      <c r="D1715" s="1427"/>
      <c r="E1715" s="1427"/>
      <c r="F1715" s="1427"/>
      <c r="G1715" s="1427"/>
      <c r="H1715" s="1427"/>
      <c r="N1715" s="1727"/>
    </row>
    <row r="1716" spans="1:14" x14ac:dyDescent="0.2">
      <c r="A1716" s="1424"/>
      <c r="B1716" s="1427"/>
      <c r="C1716" s="1430"/>
      <c r="D1716" s="1427"/>
      <c r="E1716" s="1427"/>
      <c r="F1716" s="1427"/>
      <c r="G1716" s="1427"/>
      <c r="H1716" s="1427"/>
      <c r="N1716" s="1727"/>
    </row>
    <row r="1717" spans="1:14" x14ac:dyDescent="0.2">
      <c r="A1717" s="1424"/>
      <c r="B1717" s="1427"/>
      <c r="C1717" s="1430"/>
      <c r="D1717" s="1427"/>
      <c r="E1717" s="1427"/>
      <c r="F1717" s="1427"/>
      <c r="G1717" s="1427"/>
      <c r="H1717" s="1427"/>
      <c r="N1717" s="1727"/>
    </row>
    <row r="1718" spans="1:14" x14ac:dyDescent="0.2">
      <c r="A1718" s="1424"/>
      <c r="B1718" s="1427"/>
      <c r="C1718" s="1430"/>
      <c r="D1718" s="1427"/>
      <c r="E1718" s="1427"/>
      <c r="F1718" s="1427"/>
      <c r="G1718" s="1427"/>
      <c r="H1718" s="1427"/>
      <c r="N1718" s="1727"/>
    </row>
    <row r="1719" spans="1:14" x14ac:dyDescent="0.2">
      <c r="A1719" s="1424"/>
      <c r="B1719" s="1427"/>
      <c r="C1719" s="1430"/>
      <c r="D1719" s="1427"/>
      <c r="E1719" s="1427"/>
      <c r="F1719" s="1427"/>
      <c r="G1719" s="1427"/>
      <c r="H1719" s="1427"/>
      <c r="N1719" s="1727"/>
    </row>
    <row r="1720" spans="1:14" x14ac:dyDescent="0.2">
      <c r="A1720" s="1424"/>
      <c r="B1720" s="1427"/>
      <c r="C1720" s="1430"/>
      <c r="D1720" s="1427"/>
      <c r="E1720" s="1427"/>
      <c r="F1720" s="1427"/>
      <c r="G1720" s="1427"/>
      <c r="H1720" s="1427"/>
      <c r="N1720" s="1727"/>
    </row>
    <row r="1721" spans="1:14" x14ac:dyDescent="0.2">
      <c r="A1721" s="1424"/>
      <c r="B1721" s="1427"/>
      <c r="C1721" s="1430"/>
      <c r="D1721" s="1427"/>
      <c r="E1721" s="1427"/>
      <c r="F1721" s="1427"/>
      <c r="G1721" s="1427"/>
      <c r="H1721" s="1427"/>
      <c r="N1721" s="1727"/>
    </row>
    <row r="1722" spans="1:14" x14ac:dyDescent="0.2">
      <c r="A1722" s="1424"/>
      <c r="B1722" s="1427"/>
      <c r="C1722" s="1430"/>
      <c r="D1722" s="1427"/>
      <c r="E1722" s="1427"/>
      <c r="F1722" s="1427"/>
      <c r="G1722" s="1427"/>
      <c r="H1722" s="1427"/>
      <c r="N1722" s="1727"/>
    </row>
    <row r="1723" spans="1:14" x14ac:dyDescent="0.2">
      <c r="A1723" s="1424"/>
      <c r="B1723" s="1427"/>
      <c r="C1723" s="1430"/>
      <c r="D1723" s="1427"/>
      <c r="E1723" s="1427"/>
      <c r="F1723" s="1427"/>
      <c r="G1723" s="1427"/>
      <c r="H1723" s="1427"/>
      <c r="N1723" s="1727"/>
    </row>
    <row r="1724" spans="1:14" x14ac:dyDescent="0.2">
      <c r="A1724" s="1424"/>
      <c r="B1724" s="1427"/>
      <c r="C1724" s="1430"/>
      <c r="D1724" s="1427"/>
      <c r="E1724" s="1427"/>
      <c r="F1724" s="1427"/>
      <c r="G1724" s="1427"/>
      <c r="H1724" s="1427"/>
      <c r="N1724" s="1727"/>
    </row>
    <row r="1725" spans="1:14" x14ac:dyDescent="0.2">
      <c r="A1725" s="1424"/>
      <c r="B1725" s="1427"/>
      <c r="C1725" s="1430"/>
      <c r="D1725" s="1427"/>
      <c r="E1725" s="1427"/>
      <c r="F1725" s="1427"/>
      <c r="G1725" s="1427"/>
      <c r="H1725" s="1427"/>
      <c r="N1725" s="1727"/>
    </row>
    <row r="1726" spans="1:14" x14ac:dyDescent="0.2">
      <c r="A1726" s="1424"/>
      <c r="B1726" s="1427"/>
      <c r="C1726" s="1430"/>
      <c r="D1726" s="1427"/>
      <c r="E1726" s="1427"/>
      <c r="F1726" s="1427"/>
      <c r="G1726" s="1427"/>
      <c r="H1726" s="1427"/>
      <c r="N1726" s="1727"/>
    </row>
    <row r="1727" spans="1:14" x14ac:dyDescent="0.2">
      <c r="A1727" s="1424"/>
      <c r="B1727" s="1427"/>
      <c r="C1727" s="1430"/>
      <c r="D1727" s="1427"/>
      <c r="E1727" s="1427"/>
      <c r="F1727" s="1427"/>
      <c r="G1727" s="1427"/>
      <c r="H1727" s="1427"/>
      <c r="N1727" s="1727"/>
    </row>
    <row r="1728" spans="1:14" x14ac:dyDescent="0.2">
      <c r="A1728" s="1424"/>
      <c r="B1728" s="1427"/>
      <c r="C1728" s="1430"/>
      <c r="D1728" s="1427"/>
      <c r="E1728" s="1427"/>
      <c r="F1728" s="1427"/>
      <c r="G1728" s="1427"/>
      <c r="H1728" s="1427"/>
      <c r="N1728" s="1727"/>
    </row>
    <row r="1729" spans="1:14" x14ac:dyDescent="0.2">
      <c r="A1729" s="1424"/>
      <c r="B1729" s="1427"/>
      <c r="C1729" s="1430"/>
      <c r="D1729" s="1427"/>
      <c r="E1729" s="1427"/>
      <c r="F1729" s="1427"/>
      <c r="G1729" s="1427"/>
      <c r="H1729" s="1427"/>
      <c r="N1729" s="1727"/>
    </row>
    <row r="1730" spans="1:14" x14ac:dyDescent="0.2">
      <c r="A1730" s="1424"/>
      <c r="B1730" s="1427"/>
      <c r="C1730" s="1430"/>
      <c r="D1730" s="1427"/>
      <c r="E1730" s="1427"/>
      <c r="F1730" s="1427"/>
      <c r="G1730" s="1427"/>
      <c r="H1730" s="1427"/>
      <c r="N1730" s="1727"/>
    </row>
    <row r="1731" spans="1:14" x14ac:dyDescent="0.2">
      <c r="A1731" s="1424"/>
      <c r="B1731" s="1427"/>
      <c r="C1731" s="1430"/>
      <c r="D1731" s="1427"/>
      <c r="E1731" s="1427"/>
      <c r="F1731" s="1427"/>
      <c r="G1731" s="1427"/>
      <c r="H1731" s="1427"/>
      <c r="N1731" s="1727"/>
    </row>
    <row r="1732" spans="1:14" x14ac:dyDescent="0.2">
      <c r="A1732" s="1424"/>
      <c r="B1732" s="1427"/>
      <c r="C1732" s="1430"/>
      <c r="D1732" s="1427"/>
      <c r="E1732" s="1427"/>
      <c r="F1732" s="1427"/>
      <c r="G1732" s="1427"/>
      <c r="H1732" s="1427"/>
      <c r="N1732" s="1727"/>
    </row>
    <row r="1733" spans="1:14" x14ac:dyDescent="0.2">
      <c r="A1733" s="1424"/>
      <c r="B1733" s="1427"/>
      <c r="C1733" s="1430"/>
      <c r="D1733" s="1427"/>
      <c r="E1733" s="1427"/>
      <c r="F1733" s="1427"/>
      <c r="G1733" s="1427"/>
      <c r="H1733" s="1427"/>
      <c r="N1733" s="1727"/>
    </row>
    <row r="1734" spans="1:14" x14ac:dyDescent="0.2">
      <c r="A1734" s="1424"/>
      <c r="B1734" s="1427"/>
      <c r="C1734" s="1430"/>
      <c r="D1734" s="1427"/>
      <c r="E1734" s="1427"/>
      <c r="F1734" s="1427"/>
      <c r="G1734" s="1427"/>
      <c r="H1734" s="1427"/>
      <c r="N1734" s="1727"/>
    </row>
    <row r="1735" spans="1:14" x14ac:dyDescent="0.2">
      <c r="A1735" s="1424"/>
      <c r="B1735" s="1427"/>
      <c r="C1735" s="1430"/>
      <c r="D1735" s="1427"/>
      <c r="E1735" s="1427"/>
      <c r="F1735" s="1427"/>
      <c r="G1735" s="1427"/>
      <c r="H1735" s="1427"/>
      <c r="N1735" s="1727"/>
    </row>
    <row r="1736" spans="1:14" x14ac:dyDescent="0.2">
      <c r="A1736" s="1424"/>
      <c r="B1736" s="1427"/>
      <c r="C1736" s="1430"/>
      <c r="D1736" s="1427"/>
      <c r="E1736" s="1427"/>
      <c r="F1736" s="1427"/>
      <c r="G1736" s="1427"/>
      <c r="H1736" s="1427"/>
      <c r="N1736" s="1727"/>
    </row>
    <row r="1737" spans="1:14" x14ac:dyDescent="0.2">
      <c r="A1737" s="1424"/>
      <c r="B1737" s="1427"/>
      <c r="C1737" s="1430"/>
      <c r="D1737" s="1427"/>
      <c r="E1737" s="1427"/>
      <c r="F1737" s="1427"/>
      <c r="G1737" s="1427"/>
      <c r="H1737" s="1427"/>
      <c r="N1737" s="1727"/>
    </row>
    <row r="1738" spans="1:14" x14ac:dyDescent="0.2">
      <c r="A1738" s="1424"/>
      <c r="B1738" s="1427"/>
      <c r="C1738" s="1430"/>
      <c r="D1738" s="1427"/>
      <c r="E1738" s="1427"/>
      <c r="F1738" s="1427"/>
      <c r="G1738" s="1427"/>
      <c r="H1738" s="1427"/>
      <c r="N1738" s="1727"/>
    </row>
    <row r="1739" spans="1:14" x14ac:dyDescent="0.2">
      <c r="A1739" s="1424"/>
      <c r="B1739" s="1427"/>
      <c r="C1739" s="1430"/>
      <c r="D1739" s="1427"/>
      <c r="E1739" s="1427"/>
      <c r="F1739" s="1427"/>
      <c r="G1739" s="1427"/>
      <c r="H1739" s="1427"/>
      <c r="N1739" s="1727"/>
    </row>
    <row r="1740" spans="1:14" x14ac:dyDescent="0.2">
      <c r="A1740" s="1424"/>
      <c r="B1740" s="1427"/>
      <c r="C1740" s="1430"/>
      <c r="D1740" s="1427"/>
      <c r="E1740" s="1427"/>
      <c r="F1740" s="1427"/>
      <c r="G1740" s="1427"/>
      <c r="H1740" s="1427"/>
      <c r="N1740" s="1727"/>
    </row>
    <row r="1741" spans="1:14" x14ac:dyDescent="0.2">
      <c r="A1741" s="1424"/>
      <c r="B1741" s="1427"/>
      <c r="C1741" s="1430"/>
      <c r="D1741" s="1427"/>
      <c r="E1741" s="1427"/>
      <c r="F1741" s="1427"/>
      <c r="G1741" s="1427"/>
      <c r="H1741" s="1427"/>
      <c r="N1741" s="1727"/>
    </row>
    <row r="1742" spans="1:14" x14ac:dyDescent="0.2">
      <c r="A1742" s="1424"/>
      <c r="B1742" s="1427"/>
      <c r="C1742" s="1430"/>
      <c r="D1742" s="1427"/>
      <c r="E1742" s="1427"/>
      <c r="F1742" s="1427"/>
      <c r="G1742" s="1427"/>
      <c r="H1742" s="1427"/>
      <c r="N1742" s="1727"/>
    </row>
    <row r="1743" spans="1:14" x14ac:dyDescent="0.2">
      <c r="A1743" s="1424"/>
      <c r="B1743" s="1427"/>
      <c r="C1743" s="1430"/>
      <c r="D1743" s="1427"/>
      <c r="E1743" s="1427"/>
      <c r="F1743" s="1427"/>
      <c r="G1743" s="1427"/>
      <c r="H1743" s="1427"/>
      <c r="N1743" s="1727"/>
    </row>
    <row r="1744" spans="1:14" x14ac:dyDescent="0.2">
      <c r="A1744" s="1424"/>
      <c r="B1744" s="1427"/>
      <c r="C1744" s="1430"/>
      <c r="D1744" s="1427"/>
      <c r="E1744" s="1427"/>
      <c r="F1744" s="1427"/>
      <c r="G1744" s="1427"/>
      <c r="H1744" s="1427"/>
      <c r="N1744" s="1727"/>
    </row>
    <row r="1745" spans="1:14" x14ac:dyDescent="0.2">
      <c r="A1745" s="1424"/>
      <c r="B1745" s="1427"/>
      <c r="C1745" s="1430"/>
      <c r="D1745" s="1427"/>
      <c r="E1745" s="1427"/>
      <c r="F1745" s="1427"/>
      <c r="G1745" s="1427"/>
      <c r="H1745" s="1427"/>
      <c r="N1745" s="1727"/>
    </row>
    <row r="1746" spans="1:14" x14ac:dyDescent="0.2">
      <c r="A1746" s="1424"/>
      <c r="B1746" s="1427"/>
      <c r="C1746" s="1430"/>
      <c r="D1746" s="1427"/>
      <c r="E1746" s="1427"/>
      <c r="F1746" s="1427"/>
      <c r="G1746" s="1427"/>
      <c r="H1746" s="1427"/>
      <c r="N1746" s="1727"/>
    </row>
    <row r="1747" spans="1:14" x14ac:dyDescent="0.2">
      <c r="A1747" s="1424"/>
      <c r="B1747" s="1427"/>
      <c r="C1747" s="1430"/>
      <c r="D1747" s="1427"/>
      <c r="E1747" s="1427"/>
      <c r="F1747" s="1427"/>
      <c r="G1747" s="1427"/>
      <c r="H1747" s="1427"/>
      <c r="N1747" s="1727"/>
    </row>
    <row r="1748" spans="1:14" x14ac:dyDescent="0.2">
      <c r="A1748" s="1424"/>
      <c r="B1748" s="1427"/>
      <c r="C1748" s="1430"/>
      <c r="D1748" s="1427"/>
      <c r="E1748" s="1427"/>
      <c r="F1748" s="1427"/>
      <c r="G1748" s="1427"/>
      <c r="H1748" s="1427"/>
      <c r="N1748" s="1727"/>
    </row>
    <row r="1749" spans="1:14" x14ac:dyDescent="0.2">
      <c r="A1749" s="1424"/>
      <c r="B1749" s="1427"/>
      <c r="C1749" s="1430"/>
      <c r="D1749" s="1427"/>
      <c r="E1749" s="1427"/>
      <c r="F1749" s="1427"/>
      <c r="G1749" s="1427"/>
      <c r="H1749" s="1427"/>
      <c r="N1749" s="1727"/>
    </row>
    <row r="1750" spans="1:14" x14ac:dyDescent="0.2">
      <c r="A1750" s="1424"/>
      <c r="B1750" s="1427"/>
      <c r="C1750" s="1430"/>
      <c r="D1750" s="1427"/>
      <c r="E1750" s="1427"/>
      <c r="F1750" s="1427"/>
      <c r="G1750" s="1427"/>
      <c r="H1750" s="1427"/>
      <c r="N1750" s="1727"/>
    </row>
    <row r="1751" spans="1:14" x14ac:dyDescent="0.2">
      <c r="A1751" s="1424"/>
      <c r="B1751" s="1427"/>
      <c r="C1751" s="1430"/>
      <c r="D1751" s="1427"/>
      <c r="E1751" s="1427"/>
      <c r="F1751" s="1427"/>
      <c r="G1751" s="1427"/>
      <c r="H1751" s="1427"/>
      <c r="N1751" s="1727"/>
    </row>
    <row r="1752" spans="1:14" x14ac:dyDescent="0.2">
      <c r="A1752" s="1424"/>
      <c r="B1752" s="1427"/>
      <c r="C1752" s="1430"/>
      <c r="D1752" s="1427"/>
      <c r="E1752" s="1427"/>
      <c r="F1752" s="1427"/>
      <c r="G1752" s="1427"/>
      <c r="H1752" s="1427"/>
      <c r="N1752" s="1727"/>
    </row>
    <row r="1753" spans="1:14" x14ac:dyDescent="0.2">
      <c r="A1753" s="1424"/>
      <c r="B1753" s="1427"/>
      <c r="C1753" s="1430"/>
      <c r="D1753" s="1427"/>
      <c r="E1753" s="1427"/>
      <c r="F1753" s="1427"/>
      <c r="G1753" s="1427"/>
      <c r="H1753" s="1427"/>
      <c r="N1753" s="1727"/>
    </row>
    <row r="1754" spans="1:14" x14ac:dyDescent="0.2">
      <c r="A1754" s="1424"/>
      <c r="B1754" s="1427"/>
      <c r="C1754" s="1430"/>
      <c r="D1754" s="1427"/>
      <c r="E1754" s="1427"/>
      <c r="F1754" s="1427"/>
      <c r="G1754" s="1427"/>
      <c r="H1754" s="1427"/>
      <c r="N1754" s="1727"/>
    </row>
    <row r="1755" spans="1:14" x14ac:dyDescent="0.2">
      <c r="A1755" s="1424"/>
      <c r="B1755" s="1427"/>
      <c r="C1755" s="1430"/>
      <c r="D1755" s="1427"/>
      <c r="E1755" s="1427"/>
      <c r="F1755" s="1427"/>
      <c r="G1755" s="1427"/>
      <c r="H1755" s="1427"/>
      <c r="N1755" s="1727"/>
    </row>
    <row r="1756" spans="1:14" x14ac:dyDescent="0.2">
      <c r="A1756" s="1424"/>
      <c r="B1756" s="1427"/>
      <c r="C1756" s="1430"/>
      <c r="D1756" s="1427"/>
      <c r="E1756" s="1427"/>
      <c r="F1756" s="1427"/>
      <c r="G1756" s="1427"/>
      <c r="H1756" s="1427"/>
      <c r="N1756" s="1727"/>
    </row>
    <row r="1757" spans="1:14" x14ac:dyDescent="0.2">
      <c r="A1757" s="1424"/>
      <c r="B1757" s="1427"/>
      <c r="C1757" s="1430"/>
      <c r="D1757" s="1427"/>
      <c r="E1757" s="1427"/>
      <c r="F1757" s="1427"/>
      <c r="G1757" s="1427"/>
      <c r="H1757" s="1427"/>
      <c r="N1757" s="1727"/>
    </row>
    <row r="1758" spans="1:14" x14ac:dyDescent="0.2">
      <c r="A1758" s="1424"/>
      <c r="B1758" s="1427"/>
      <c r="C1758" s="1430"/>
      <c r="D1758" s="1427"/>
      <c r="E1758" s="1427"/>
      <c r="F1758" s="1427"/>
      <c r="G1758" s="1427"/>
      <c r="H1758" s="1427"/>
      <c r="N1758" s="1727"/>
    </row>
    <row r="1759" spans="1:14" x14ac:dyDescent="0.2">
      <c r="A1759" s="1424"/>
      <c r="B1759" s="1427"/>
      <c r="C1759" s="1430"/>
      <c r="D1759" s="1427"/>
      <c r="E1759" s="1427"/>
      <c r="F1759" s="1427"/>
      <c r="G1759" s="1427"/>
      <c r="H1759" s="1427"/>
      <c r="N1759" s="1727"/>
    </row>
    <row r="1760" spans="1:14" x14ac:dyDescent="0.2">
      <c r="A1760" s="1424"/>
      <c r="B1760" s="1427"/>
      <c r="C1760" s="1430"/>
      <c r="D1760" s="1427"/>
      <c r="E1760" s="1427"/>
      <c r="F1760" s="1427"/>
      <c r="G1760" s="1427"/>
      <c r="H1760" s="1427"/>
      <c r="N1760" s="1727"/>
    </row>
    <row r="1761" spans="1:14" x14ac:dyDescent="0.2">
      <c r="A1761" s="1424"/>
      <c r="B1761" s="1427"/>
      <c r="C1761" s="1430"/>
      <c r="D1761" s="1427"/>
      <c r="E1761" s="1427"/>
      <c r="F1761" s="1427"/>
      <c r="G1761" s="1427"/>
      <c r="H1761" s="1427"/>
      <c r="N1761" s="1727"/>
    </row>
    <row r="1762" spans="1:14" x14ac:dyDescent="0.2">
      <c r="A1762" s="1424"/>
      <c r="B1762" s="1427"/>
      <c r="C1762" s="1430"/>
      <c r="D1762" s="1427"/>
      <c r="E1762" s="1427"/>
      <c r="F1762" s="1427"/>
      <c r="G1762" s="1427"/>
      <c r="H1762" s="1427"/>
      <c r="N1762" s="1727"/>
    </row>
    <row r="1763" spans="1:14" x14ac:dyDescent="0.2">
      <c r="A1763" s="1424"/>
      <c r="B1763" s="1427"/>
      <c r="C1763" s="1430"/>
      <c r="D1763" s="1427"/>
      <c r="E1763" s="1427"/>
      <c r="F1763" s="1427"/>
      <c r="G1763" s="1427"/>
      <c r="H1763" s="1427"/>
      <c r="N1763" s="1727"/>
    </row>
    <row r="1764" spans="1:14" x14ac:dyDescent="0.2">
      <c r="A1764" s="1424"/>
      <c r="B1764" s="1427"/>
      <c r="C1764" s="1430"/>
      <c r="D1764" s="1427"/>
      <c r="E1764" s="1427"/>
      <c r="F1764" s="1427"/>
      <c r="G1764" s="1427"/>
      <c r="H1764" s="1427"/>
      <c r="N1764" s="1727"/>
    </row>
    <row r="1765" spans="1:14" x14ac:dyDescent="0.2">
      <c r="A1765" s="1424"/>
      <c r="B1765" s="1427"/>
      <c r="C1765" s="1430"/>
      <c r="D1765" s="1427"/>
      <c r="E1765" s="1427"/>
      <c r="F1765" s="1427"/>
      <c r="G1765" s="1427"/>
      <c r="H1765" s="1427"/>
      <c r="N1765" s="1727"/>
    </row>
    <row r="1766" spans="1:14" x14ac:dyDescent="0.2">
      <c r="A1766" s="1424"/>
      <c r="B1766" s="1427"/>
      <c r="C1766" s="1430"/>
      <c r="D1766" s="1427"/>
      <c r="E1766" s="1427"/>
      <c r="F1766" s="1427"/>
      <c r="G1766" s="1427"/>
      <c r="H1766" s="1427"/>
      <c r="N1766" s="1727"/>
    </row>
    <row r="1767" spans="1:14" x14ac:dyDescent="0.2">
      <c r="A1767" s="1424"/>
      <c r="B1767" s="1427"/>
      <c r="C1767" s="1430"/>
      <c r="D1767" s="1427"/>
      <c r="E1767" s="1427"/>
      <c r="F1767" s="1427"/>
      <c r="G1767" s="1427"/>
      <c r="H1767" s="1427"/>
      <c r="N1767" s="1727"/>
    </row>
    <row r="1768" spans="1:14" x14ac:dyDescent="0.2">
      <c r="A1768" s="1424"/>
      <c r="B1768" s="1427"/>
      <c r="C1768" s="1430"/>
      <c r="D1768" s="1427"/>
      <c r="E1768" s="1427"/>
      <c r="F1768" s="1427"/>
      <c r="G1768" s="1427"/>
      <c r="H1768" s="1427"/>
      <c r="N1768" s="1727"/>
    </row>
    <row r="1769" spans="1:14" x14ac:dyDescent="0.2">
      <c r="A1769" s="1424"/>
      <c r="B1769" s="1427"/>
      <c r="C1769" s="1430"/>
      <c r="D1769" s="1427"/>
      <c r="E1769" s="1427"/>
      <c r="F1769" s="1427"/>
      <c r="G1769" s="1427"/>
      <c r="H1769" s="1427"/>
      <c r="N1769" s="1727"/>
    </row>
    <row r="1770" spans="1:14" x14ac:dyDescent="0.2">
      <c r="A1770" s="1424"/>
      <c r="B1770" s="1427"/>
      <c r="C1770" s="1430"/>
      <c r="D1770" s="1427"/>
      <c r="E1770" s="1427"/>
      <c r="F1770" s="1427"/>
      <c r="G1770" s="1427"/>
      <c r="H1770" s="1427"/>
      <c r="N1770" s="1727"/>
    </row>
    <row r="1771" spans="1:14" x14ac:dyDescent="0.2">
      <c r="A1771" s="1424"/>
      <c r="B1771" s="1427"/>
      <c r="C1771" s="1430"/>
      <c r="D1771" s="1427"/>
      <c r="E1771" s="1427"/>
      <c r="F1771" s="1427"/>
      <c r="G1771" s="1427"/>
      <c r="H1771" s="1427"/>
      <c r="N1771" s="1727"/>
    </row>
    <row r="1772" spans="1:14" x14ac:dyDescent="0.2">
      <c r="A1772" s="1424"/>
      <c r="B1772" s="1427"/>
      <c r="C1772" s="1430"/>
      <c r="D1772" s="1427"/>
      <c r="E1772" s="1427"/>
      <c r="F1772" s="1427"/>
      <c r="G1772" s="1427"/>
      <c r="H1772" s="1427"/>
      <c r="N1772" s="1727"/>
    </row>
    <row r="1773" spans="1:14" x14ac:dyDescent="0.2">
      <c r="A1773" s="1424"/>
      <c r="B1773" s="1427"/>
      <c r="C1773" s="1430"/>
      <c r="D1773" s="1427"/>
      <c r="E1773" s="1427"/>
      <c r="F1773" s="1427"/>
      <c r="G1773" s="1427"/>
      <c r="H1773" s="1427"/>
      <c r="N1773" s="1727"/>
    </row>
    <row r="1774" spans="1:14" x14ac:dyDescent="0.2">
      <c r="A1774" s="1424"/>
      <c r="B1774" s="1427"/>
      <c r="C1774" s="1430"/>
      <c r="D1774" s="1427"/>
      <c r="E1774" s="1427"/>
      <c r="F1774" s="1427"/>
      <c r="G1774" s="1427"/>
      <c r="H1774" s="1427"/>
      <c r="N1774" s="1727"/>
    </row>
    <row r="1775" spans="1:14" x14ac:dyDescent="0.2">
      <c r="A1775" s="1424"/>
      <c r="B1775" s="1427"/>
      <c r="C1775" s="1430"/>
      <c r="D1775" s="1427"/>
      <c r="E1775" s="1427"/>
      <c r="F1775" s="1427"/>
      <c r="G1775" s="1427"/>
      <c r="H1775" s="1427"/>
      <c r="N1775" s="1727"/>
    </row>
    <row r="1776" spans="1:14" x14ac:dyDescent="0.2">
      <c r="A1776" s="1424"/>
      <c r="B1776" s="1427"/>
      <c r="C1776" s="1430"/>
      <c r="D1776" s="1427"/>
      <c r="E1776" s="1427"/>
      <c r="F1776" s="1427"/>
      <c r="G1776" s="1427"/>
      <c r="H1776" s="1427"/>
      <c r="N1776" s="1727"/>
    </row>
    <row r="1777" spans="1:14" x14ac:dyDescent="0.2">
      <c r="A1777" s="1424"/>
      <c r="B1777" s="1427"/>
      <c r="C1777" s="1430"/>
      <c r="D1777" s="1427"/>
      <c r="E1777" s="1427"/>
      <c r="F1777" s="1427"/>
      <c r="G1777" s="1427"/>
      <c r="H1777" s="1427"/>
      <c r="N1777" s="1727"/>
    </row>
    <row r="1778" spans="1:14" x14ac:dyDescent="0.2">
      <c r="A1778" s="1424"/>
      <c r="B1778" s="1427"/>
      <c r="C1778" s="1430"/>
      <c r="D1778" s="1427"/>
      <c r="E1778" s="1427"/>
      <c r="F1778" s="1427"/>
      <c r="G1778" s="1427"/>
      <c r="H1778" s="1427"/>
      <c r="N1778" s="1727"/>
    </row>
    <row r="1779" spans="1:14" x14ac:dyDescent="0.2">
      <c r="A1779" s="1424"/>
      <c r="B1779" s="1427"/>
      <c r="C1779" s="1430"/>
      <c r="D1779" s="1427"/>
      <c r="E1779" s="1427"/>
      <c r="F1779" s="1427"/>
      <c r="G1779" s="1427"/>
      <c r="H1779" s="1427"/>
      <c r="N1779" s="1727"/>
    </row>
    <row r="1780" spans="1:14" x14ac:dyDescent="0.2">
      <c r="A1780" s="1424"/>
      <c r="B1780" s="1427"/>
      <c r="C1780" s="1430"/>
      <c r="D1780" s="1427"/>
      <c r="E1780" s="1427"/>
      <c r="F1780" s="1427"/>
      <c r="G1780" s="1427"/>
      <c r="H1780" s="1427"/>
      <c r="N1780" s="1727"/>
    </row>
    <row r="1781" spans="1:14" x14ac:dyDescent="0.2">
      <c r="A1781" s="1424"/>
      <c r="B1781" s="1427"/>
      <c r="C1781" s="1430"/>
      <c r="D1781" s="1427"/>
      <c r="E1781" s="1427"/>
      <c r="F1781" s="1427"/>
      <c r="G1781" s="1427"/>
      <c r="H1781" s="1427"/>
      <c r="N1781" s="1727"/>
    </row>
    <row r="1782" spans="1:14" x14ac:dyDescent="0.2">
      <c r="A1782" s="1424"/>
      <c r="B1782" s="1427"/>
      <c r="C1782" s="1430"/>
      <c r="D1782" s="1427"/>
      <c r="E1782" s="1427"/>
      <c r="F1782" s="1427"/>
      <c r="G1782" s="1427"/>
      <c r="H1782" s="1427"/>
      <c r="N1782" s="1727"/>
    </row>
    <row r="1783" spans="1:14" x14ac:dyDescent="0.2">
      <c r="A1783" s="1424"/>
      <c r="B1783" s="1427"/>
      <c r="C1783" s="1430"/>
      <c r="D1783" s="1427"/>
      <c r="E1783" s="1427"/>
      <c r="F1783" s="1427"/>
      <c r="G1783" s="1427"/>
      <c r="H1783" s="1427"/>
      <c r="N1783" s="1727"/>
    </row>
    <row r="1784" spans="1:14" x14ac:dyDescent="0.2">
      <c r="A1784" s="1424"/>
      <c r="B1784" s="1427"/>
      <c r="C1784" s="1430"/>
      <c r="D1784" s="1427"/>
      <c r="E1784" s="1427"/>
      <c r="F1784" s="1427"/>
      <c r="G1784" s="1427"/>
      <c r="H1784" s="1427"/>
      <c r="N1784" s="1727"/>
    </row>
    <row r="1785" spans="1:14" x14ac:dyDescent="0.2">
      <c r="A1785" s="1424"/>
      <c r="B1785" s="1427"/>
      <c r="C1785" s="1430"/>
      <c r="D1785" s="1427"/>
      <c r="E1785" s="1427"/>
      <c r="F1785" s="1427"/>
      <c r="G1785" s="1427"/>
      <c r="H1785" s="1427"/>
      <c r="N1785" s="1727"/>
    </row>
    <row r="1786" spans="1:14" x14ac:dyDescent="0.2">
      <c r="A1786" s="1424"/>
      <c r="B1786" s="1427"/>
      <c r="C1786" s="1430"/>
      <c r="D1786" s="1427"/>
      <c r="E1786" s="1427"/>
      <c r="F1786" s="1427"/>
      <c r="G1786" s="1427"/>
      <c r="H1786" s="1427"/>
      <c r="N1786" s="1727"/>
    </row>
    <row r="1787" spans="1:14" x14ac:dyDescent="0.2">
      <c r="A1787" s="1424"/>
      <c r="B1787" s="1427"/>
      <c r="C1787" s="1430"/>
      <c r="D1787" s="1427"/>
      <c r="E1787" s="1427"/>
      <c r="F1787" s="1427"/>
      <c r="G1787" s="1427"/>
      <c r="H1787" s="1427"/>
      <c r="N1787" s="1727"/>
    </row>
    <row r="1788" spans="1:14" x14ac:dyDescent="0.2">
      <c r="A1788" s="1424"/>
      <c r="B1788" s="1427"/>
      <c r="C1788" s="1430"/>
      <c r="D1788" s="1427"/>
      <c r="E1788" s="1427"/>
      <c r="F1788" s="1427"/>
      <c r="G1788" s="1427"/>
      <c r="H1788" s="1427"/>
      <c r="N1788" s="1727"/>
    </row>
    <row r="1789" spans="1:14" x14ac:dyDescent="0.2">
      <c r="A1789" s="1424"/>
      <c r="B1789" s="1427"/>
      <c r="C1789" s="1430"/>
      <c r="D1789" s="1427"/>
      <c r="E1789" s="1427"/>
      <c r="F1789" s="1427"/>
      <c r="G1789" s="1427"/>
      <c r="H1789" s="1427"/>
      <c r="N1789" s="1727"/>
    </row>
    <row r="1790" spans="1:14" x14ac:dyDescent="0.2">
      <c r="A1790" s="1424"/>
      <c r="B1790" s="1427"/>
      <c r="C1790" s="1430"/>
      <c r="D1790" s="1427"/>
      <c r="E1790" s="1427"/>
      <c r="F1790" s="1427"/>
      <c r="G1790" s="1427"/>
      <c r="H1790" s="1427"/>
      <c r="N1790" s="1727"/>
    </row>
    <row r="1791" spans="1:14" x14ac:dyDescent="0.2">
      <c r="A1791" s="1424"/>
      <c r="B1791" s="1427"/>
      <c r="C1791" s="1430"/>
      <c r="D1791" s="1427"/>
      <c r="E1791" s="1427"/>
      <c r="F1791" s="1427"/>
      <c r="G1791" s="1427"/>
      <c r="H1791" s="1427"/>
      <c r="N1791" s="1727"/>
    </row>
    <row r="1792" spans="1:14" x14ac:dyDescent="0.2">
      <c r="A1792" s="1424"/>
      <c r="B1792" s="1427"/>
      <c r="C1792" s="1430"/>
      <c r="D1792" s="1427"/>
      <c r="E1792" s="1427"/>
      <c r="F1792" s="1427"/>
      <c r="G1792" s="1427"/>
      <c r="H1792" s="1427"/>
      <c r="N1792" s="1727"/>
    </row>
    <row r="1793" spans="1:14" x14ac:dyDescent="0.2">
      <c r="A1793" s="1424"/>
      <c r="B1793" s="1427"/>
      <c r="C1793" s="1430"/>
      <c r="D1793" s="1427"/>
      <c r="E1793" s="1427"/>
      <c r="F1793" s="1427"/>
      <c r="G1793" s="1427"/>
      <c r="H1793" s="1427"/>
      <c r="N1793" s="1727"/>
    </row>
    <row r="1794" spans="1:14" x14ac:dyDescent="0.2">
      <c r="A1794" s="1424"/>
      <c r="B1794" s="1427"/>
      <c r="C1794" s="1430"/>
      <c r="D1794" s="1427"/>
      <c r="E1794" s="1427"/>
      <c r="F1794" s="1427"/>
      <c r="G1794" s="1427"/>
      <c r="H1794" s="1427"/>
      <c r="N1794" s="1727"/>
    </row>
    <row r="1795" spans="1:14" x14ac:dyDescent="0.2">
      <c r="A1795" s="1424"/>
      <c r="B1795" s="1427"/>
      <c r="C1795" s="1430"/>
      <c r="D1795" s="1427"/>
      <c r="E1795" s="1427"/>
      <c r="F1795" s="1427"/>
      <c r="G1795" s="1427"/>
      <c r="H1795" s="1427"/>
      <c r="N1795" s="1727"/>
    </row>
    <row r="1796" spans="1:14" x14ac:dyDescent="0.2">
      <c r="A1796" s="1424"/>
      <c r="B1796" s="1427"/>
      <c r="C1796" s="1430"/>
      <c r="D1796" s="1427"/>
      <c r="E1796" s="1427"/>
      <c r="F1796" s="1427"/>
      <c r="G1796" s="1427"/>
      <c r="H1796" s="1427"/>
      <c r="N1796" s="1727"/>
    </row>
    <row r="1797" spans="1:14" x14ac:dyDescent="0.2">
      <c r="A1797" s="1424"/>
      <c r="B1797" s="1427"/>
      <c r="C1797" s="1430"/>
      <c r="D1797" s="1427"/>
      <c r="E1797" s="1427"/>
      <c r="F1797" s="1427"/>
      <c r="G1797" s="1427"/>
      <c r="H1797" s="1427"/>
      <c r="N1797" s="1727"/>
    </row>
    <row r="1798" spans="1:14" x14ac:dyDescent="0.2">
      <c r="A1798" s="1424"/>
      <c r="B1798" s="1427"/>
      <c r="C1798" s="1430"/>
      <c r="D1798" s="1427"/>
      <c r="E1798" s="1427"/>
      <c r="F1798" s="1427"/>
      <c r="G1798" s="1427"/>
      <c r="H1798" s="1427"/>
      <c r="N1798" s="1727"/>
    </row>
    <row r="1799" spans="1:14" x14ac:dyDescent="0.2">
      <c r="A1799" s="1424"/>
      <c r="B1799" s="1427"/>
      <c r="C1799" s="1430"/>
      <c r="D1799" s="1427"/>
      <c r="E1799" s="1427"/>
      <c r="F1799" s="1427"/>
      <c r="G1799" s="1427"/>
      <c r="H1799" s="1427"/>
      <c r="N1799" s="1727"/>
    </row>
    <row r="1800" spans="1:14" x14ac:dyDescent="0.2">
      <c r="A1800" s="1424"/>
      <c r="B1800" s="1427"/>
      <c r="C1800" s="1430"/>
      <c r="D1800" s="1427"/>
      <c r="E1800" s="1427"/>
      <c r="F1800" s="1427"/>
      <c r="G1800" s="1427"/>
      <c r="H1800" s="1427"/>
      <c r="N1800" s="1727"/>
    </row>
    <row r="1801" spans="1:14" x14ac:dyDescent="0.2">
      <c r="A1801" s="1424"/>
      <c r="B1801" s="1427"/>
      <c r="C1801" s="1430"/>
      <c r="D1801" s="1427"/>
      <c r="E1801" s="1427"/>
      <c r="F1801" s="1427"/>
      <c r="G1801" s="1427"/>
      <c r="H1801" s="1427"/>
      <c r="N1801" s="1727"/>
    </row>
    <row r="1802" spans="1:14" x14ac:dyDescent="0.2">
      <c r="A1802" s="1424"/>
      <c r="B1802" s="1427"/>
      <c r="C1802" s="1430"/>
      <c r="D1802" s="1427"/>
      <c r="E1802" s="1427"/>
      <c r="F1802" s="1427"/>
      <c r="G1802" s="1427"/>
      <c r="H1802" s="1427"/>
      <c r="N1802" s="1727"/>
    </row>
    <row r="1803" spans="1:14" x14ac:dyDescent="0.2">
      <c r="A1803" s="1424"/>
      <c r="B1803" s="1427"/>
      <c r="C1803" s="1430"/>
      <c r="D1803" s="1427"/>
      <c r="E1803" s="1427"/>
      <c r="F1803" s="1427"/>
      <c r="G1803" s="1427"/>
      <c r="H1803" s="1427"/>
      <c r="N1803" s="1727"/>
    </row>
    <row r="1804" spans="1:14" x14ac:dyDescent="0.2">
      <c r="A1804" s="1424"/>
      <c r="B1804" s="1427"/>
      <c r="C1804" s="1430"/>
      <c r="D1804" s="1427"/>
      <c r="E1804" s="1427"/>
      <c r="F1804" s="1427"/>
      <c r="G1804" s="1427"/>
      <c r="H1804" s="1427"/>
      <c r="N1804" s="1727"/>
    </row>
    <row r="1805" spans="1:14" x14ac:dyDescent="0.2">
      <c r="A1805" s="1424"/>
      <c r="B1805" s="1427"/>
      <c r="C1805" s="1430"/>
      <c r="D1805" s="1427"/>
      <c r="E1805" s="1427"/>
      <c r="F1805" s="1427"/>
      <c r="G1805" s="1427"/>
      <c r="H1805" s="1427"/>
      <c r="N1805" s="1727"/>
    </row>
    <row r="1806" spans="1:14" x14ac:dyDescent="0.2">
      <c r="A1806" s="1424"/>
      <c r="B1806" s="1427"/>
      <c r="C1806" s="1430"/>
      <c r="D1806" s="1427"/>
      <c r="E1806" s="1427"/>
      <c r="F1806" s="1427"/>
      <c r="G1806" s="1427"/>
      <c r="H1806" s="1427"/>
      <c r="N1806" s="1727"/>
    </row>
    <row r="1807" spans="1:14" x14ac:dyDescent="0.2">
      <c r="A1807" s="1424"/>
      <c r="B1807" s="1427"/>
      <c r="C1807" s="1430"/>
      <c r="D1807" s="1427"/>
      <c r="E1807" s="1427"/>
      <c r="F1807" s="1427"/>
      <c r="G1807" s="1427"/>
      <c r="H1807" s="1427"/>
      <c r="N1807" s="1727"/>
    </row>
    <row r="1808" spans="1:14" x14ac:dyDescent="0.2">
      <c r="A1808" s="1424"/>
      <c r="B1808" s="1427"/>
      <c r="C1808" s="1430"/>
      <c r="D1808" s="1427"/>
      <c r="E1808" s="1427"/>
      <c r="F1808" s="1427"/>
      <c r="G1808" s="1427"/>
      <c r="H1808" s="1427"/>
      <c r="N1808" s="1727"/>
    </row>
    <row r="1809" spans="1:14" x14ac:dyDescent="0.2">
      <c r="A1809" s="1424"/>
      <c r="B1809" s="1427"/>
      <c r="C1809" s="1430"/>
      <c r="D1809" s="1427"/>
      <c r="E1809" s="1427"/>
      <c r="F1809" s="1427"/>
      <c r="G1809" s="1427"/>
      <c r="H1809" s="1427"/>
      <c r="N1809" s="1727"/>
    </row>
    <row r="1810" spans="1:14" x14ac:dyDescent="0.2">
      <c r="A1810" s="1424"/>
      <c r="B1810" s="1427"/>
      <c r="C1810" s="1430"/>
      <c r="D1810" s="1427"/>
      <c r="E1810" s="1427"/>
      <c r="F1810" s="1427"/>
      <c r="G1810" s="1427"/>
      <c r="H1810" s="1427"/>
      <c r="N1810" s="1727"/>
    </row>
  </sheetData>
  <mergeCells count="47">
    <mergeCell ref="M6:M7"/>
    <mergeCell ref="N4:N7"/>
    <mergeCell ref="J5:J7"/>
    <mergeCell ref="E5:E7"/>
    <mergeCell ref="F5:F7"/>
    <mergeCell ref="I5:I7"/>
    <mergeCell ref="K6:K7"/>
    <mergeCell ref="L6:L7"/>
    <mergeCell ref="I4:L4"/>
    <mergeCell ref="K5:L5"/>
    <mergeCell ref="N37:N49"/>
    <mergeCell ref="C39:C44"/>
    <mergeCell ref="C48:C49"/>
    <mergeCell ref="A77:M77"/>
    <mergeCell ref="A63:A67"/>
    <mergeCell ref="C65:C67"/>
    <mergeCell ref="N64:N67"/>
    <mergeCell ref="A68:A72"/>
    <mergeCell ref="N69:N72"/>
    <mergeCell ref="C70:C72"/>
    <mergeCell ref="N74:N76"/>
    <mergeCell ref="C75:C76"/>
    <mergeCell ref="A50:A62"/>
    <mergeCell ref="N50:N62"/>
    <mergeCell ref="C52:C58"/>
    <mergeCell ref="C60:C62"/>
    <mergeCell ref="C22:C26"/>
    <mergeCell ref="A27:A36"/>
    <mergeCell ref="N27:N36"/>
    <mergeCell ref="C29:C33"/>
    <mergeCell ref="C35:C36"/>
    <mergeCell ref="J1:L1"/>
    <mergeCell ref="A8:B8"/>
    <mergeCell ref="A73:A76"/>
    <mergeCell ref="A37:A49"/>
    <mergeCell ref="A12:A26"/>
    <mergeCell ref="G5:H5"/>
    <mergeCell ref="G6:G7"/>
    <mergeCell ref="H6:H7"/>
    <mergeCell ref="A3:N3"/>
    <mergeCell ref="A4:A7"/>
    <mergeCell ref="B4:B7"/>
    <mergeCell ref="C4:C7"/>
    <mergeCell ref="D4:H4"/>
    <mergeCell ref="D5:D7"/>
    <mergeCell ref="N12:N26"/>
    <mergeCell ref="C13:C20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54" orientation="portrait" useFirstPageNumber="1" r:id="rId1"/>
  <headerFooter alignWithMargins="0">
    <oddHeader>&amp;C&amp;"Arial,Kursywa"Informacja o wykonaniu budżetu Województwa Zachodniopomorskiego za I kwartał 2014 roku
______________________________________________________________________________________________________________________</oddHeader>
    <oddFooter>&amp;C&amp;8&amp;P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CY366"/>
  <sheetViews>
    <sheetView showGridLines="0" view="pageBreakPreview" zoomScaleNormal="100" zoomScaleSheetLayoutView="100" workbookViewId="0">
      <selection activeCell="B1" sqref="B1"/>
    </sheetView>
  </sheetViews>
  <sheetFormatPr defaultRowHeight="11.25" x14ac:dyDescent="0.2"/>
  <cols>
    <col min="1" max="1" width="2.85546875" style="1745" customWidth="1"/>
    <col min="2" max="2" width="44" style="1746" customWidth="1"/>
    <col min="3" max="3" width="11.42578125" style="1746" customWidth="1"/>
    <col min="4" max="4" width="14.85546875" style="1746" customWidth="1"/>
    <col min="5" max="5" width="14.85546875" style="1746" hidden="1" customWidth="1"/>
    <col min="6" max="6" width="14.140625" style="1746" hidden="1" customWidth="1"/>
    <col min="7" max="7" width="16.42578125" style="1746" customWidth="1"/>
    <col min="8" max="8" width="16.28515625" style="1746" customWidth="1"/>
    <col min="9" max="9" width="12.140625" style="1746" customWidth="1"/>
    <col min="10" max="10" width="11.42578125" style="1977" customWidth="1"/>
    <col min="11" max="11" width="11.7109375" style="1750" customWidth="1"/>
    <col min="12" max="12" width="10.140625" style="1750" customWidth="1"/>
    <col min="13" max="13" width="12.85546875" style="1747" hidden="1" customWidth="1"/>
    <col min="14" max="14" width="11.5703125" style="1748" customWidth="1"/>
    <col min="15" max="16384" width="9.140625" style="1746"/>
  </cols>
  <sheetData>
    <row r="1" spans="1:103" ht="18.75" customHeight="1" x14ac:dyDescent="0.3">
      <c r="I1" s="28"/>
      <c r="J1" s="28"/>
      <c r="K1" s="3066" t="s">
        <v>381</v>
      </c>
      <c r="L1" s="3066"/>
    </row>
    <row r="2" spans="1:103" ht="30" customHeight="1" x14ac:dyDescent="0.2">
      <c r="I2" s="1226"/>
      <c r="J2" s="1746"/>
      <c r="K2" s="1746"/>
      <c r="L2" s="1746"/>
      <c r="M2" s="611"/>
      <c r="N2" s="1225"/>
    </row>
    <row r="3" spans="1:103" ht="12" customHeight="1" thickBot="1" x14ac:dyDescent="0.25">
      <c r="A3" s="1749"/>
      <c r="B3" s="1750"/>
      <c r="I3" s="1226"/>
      <c r="J3" s="1746"/>
      <c r="K3" s="1746"/>
      <c r="L3" s="1746"/>
      <c r="M3" s="611"/>
      <c r="N3" s="1225"/>
    </row>
    <row r="4" spans="1:103" s="1752" customFormat="1" ht="48.75" customHeight="1" thickBot="1" x14ac:dyDescent="0.25">
      <c r="A4" s="3421" t="s">
        <v>208</v>
      </c>
      <c r="B4" s="3421"/>
      <c r="C4" s="3421"/>
      <c r="D4" s="3421"/>
      <c r="E4" s="3421"/>
      <c r="F4" s="3421"/>
      <c r="G4" s="3421"/>
      <c r="H4" s="3421"/>
      <c r="I4" s="3421"/>
      <c r="J4" s="3421"/>
      <c r="K4" s="3421"/>
      <c r="L4" s="3421"/>
      <c r="M4" s="3421"/>
      <c r="N4" s="3422"/>
      <c r="O4" s="1751"/>
      <c r="P4" s="1751"/>
      <c r="Q4" s="1751"/>
      <c r="R4" s="1751"/>
      <c r="S4" s="1751"/>
      <c r="T4" s="1751"/>
      <c r="U4" s="1751"/>
      <c r="V4" s="1751"/>
      <c r="W4" s="1751"/>
      <c r="X4" s="1751"/>
      <c r="Y4" s="1751"/>
      <c r="Z4" s="1751"/>
      <c r="AA4" s="1751"/>
      <c r="AB4" s="1751"/>
      <c r="AC4" s="1751"/>
      <c r="AD4" s="1751"/>
      <c r="AE4" s="1751"/>
      <c r="AF4" s="1751"/>
      <c r="AG4" s="1751"/>
      <c r="AH4" s="1751"/>
      <c r="AI4" s="1751"/>
      <c r="AJ4" s="1751"/>
      <c r="AK4" s="1751"/>
      <c r="AL4" s="1751"/>
      <c r="AM4" s="1751"/>
      <c r="AN4" s="1751"/>
      <c r="AO4" s="1751"/>
      <c r="AP4" s="1751"/>
      <c r="AQ4" s="1751"/>
      <c r="AR4" s="1751"/>
      <c r="AS4" s="1751"/>
      <c r="AT4" s="1751"/>
      <c r="AU4" s="1751"/>
      <c r="AV4" s="1751"/>
      <c r="AW4" s="1751"/>
      <c r="AX4" s="1751"/>
      <c r="AY4" s="1751"/>
      <c r="AZ4" s="1751"/>
      <c r="BA4" s="1751"/>
      <c r="BB4" s="1751"/>
      <c r="BC4" s="1751"/>
      <c r="BD4" s="1751"/>
      <c r="BE4" s="1751"/>
      <c r="BF4" s="1751"/>
      <c r="BG4" s="1751"/>
      <c r="BH4" s="1751"/>
      <c r="BI4" s="1751"/>
      <c r="BJ4" s="1751"/>
      <c r="BK4" s="1751"/>
      <c r="BL4" s="1751"/>
      <c r="BM4" s="1751"/>
      <c r="BN4" s="1751"/>
      <c r="BO4" s="1751"/>
      <c r="BP4" s="1751"/>
      <c r="BQ4" s="1751"/>
      <c r="BR4" s="1751"/>
      <c r="BS4" s="1751"/>
      <c r="BT4" s="1751"/>
      <c r="BU4" s="1751"/>
      <c r="BV4" s="1751"/>
      <c r="BW4" s="1751"/>
      <c r="BX4" s="1751"/>
      <c r="BY4" s="1751"/>
      <c r="BZ4" s="1751"/>
      <c r="CA4" s="1751"/>
      <c r="CB4" s="1751"/>
      <c r="CC4" s="1751"/>
      <c r="CD4" s="1751"/>
      <c r="CE4" s="1751"/>
      <c r="CF4" s="1751"/>
      <c r="CG4" s="1751"/>
      <c r="CH4" s="1751"/>
      <c r="CI4" s="1751"/>
      <c r="CJ4" s="1751"/>
      <c r="CK4" s="1751"/>
      <c r="CL4" s="1751"/>
      <c r="CM4" s="1751"/>
      <c r="CN4" s="1751"/>
      <c r="CO4" s="1751"/>
      <c r="CP4" s="1751"/>
      <c r="CQ4" s="1751"/>
      <c r="CR4" s="1751"/>
      <c r="CS4" s="1751"/>
      <c r="CT4" s="1751"/>
      <c r="CU4" s="1751"/>
      <c r="CV4" s="1751"/>
      <c r="CW4" s="1751"/>
      <c r="CX4" s="1751"/>
      <c r="CY4" s="1751"/>
    </row>
    <row r="5" spans="1:103" s="252" customFormat="1" ht="36.75" customHeight="1" x14ac:dyDescent="0.2">
      <c r="A5" s="3423" t="s">
        <v>24</v>
      </c>
      <c r="B5" s="3426" t="s">
        <v>25</v>
      </c>
      <c r="C5" s="3367" t="s">
        <v>26</v>
      </c>
      <c r="D5" s="3026" t="s">
        <v>356</v>
      </c>
      <c r="E5" s="3027"/>
      <c r="F5" s="3027"/>
      <c r="G5" s="3027"/>
      <c r="H5" s="3028"/>
      <c r="I5" s="3026" t="s">
        <v>351</v>
      </c>
      <c r="J5" s="3027"/>
      <c r="K5" s="3027"/>
      <c r="L5" s="3262"/>
      <c r="M5" s="591"/>
      <c r="N5" s="3346" t="s">
        <v>27</v>
      </c>
    </row>
    <row r="6" spans="1:103" s="252" customFormat="1" ht="22.5" customHeight="1" x14ac:dyDescent="0.2">
      <c r="A6" s="3424"/>
      <c r="B6" s="3427"/>
      <c r="C6" s="3368"/>
      <c r="D6" s="3031" t="s">
        <v>0</v>
      </c>
      <c r="E6" s="3072" t="s">
        <v>360</v>
      </c>
      <c r="F6" s="3075" t="s">
        <v>361</v>
      </c>
      <c r="G6" s="3029" t="s">
        <v>257</v>
      </c>
      <c r="H6" s="3030"/>
      <c r="I6" s="3235" t="s">
        <v>350</v>
      </c>
      <c r="J6" s="3259" t="s">
        <v>300</v>
      </c>
      <c r="K6" s="3069" t="s">
        <v>357</v>
      </c>
      <c r="L6" s="3225"/>
      <c r="M6" s="592"/>
      <c r="N6" s="3347"/>
    </row>
    <row r="7" spans="1:103" s="252" customFormat="1" ht="52.5" customHeight="1" x14ac:dyDescent="0.2">
      <c r="A7" s="3424"/>
      <c r="B7" s="3427"/>
      <c r="C7" s="3368"/>
      <c r="D7" s="3032"/>
      <c r="E7" s="3073"/>
      <c r="F7" s="3076"/>
      <c r="G7" s="3059" t="s">
        <v>349</v>
      </c>
      <c r="H7" s="3061" t="s">
        <v>355</v>
      </c>
      <c r="I7" s="3236"/>
      <c r="J7" s="3260"/>
      <c r="K7" s="3078" t="s">
        <v>359</v>
      </c>
      <c r="L7" s="3239" t="s">
        <v>301</v>
      </c>
      <c r="M7" s="3241" t="s">
        <v>302</v>
      </c>
      <c r="N7" s="3347"/>
    </row>
    <row r="8" spans="1:103" s="252" customFormat="1" ht="44.25" customHeight="1" thickBot="1" x14ac:dyDescent="0.25">
      <c r="A8" s="3425"/>
      <c r="B8" s="3428"/>
      <c r="C8" s="3369"/>
      <c r="D8" s="3243"/>
      <c r="E8" s="3244"/>
      <c r="F8" s="3345"/>
      <c r="G8" s="3274"/>
      <c r="H8" s="3275"/>
      <c r="I8" s="3237"/>
      <c r="J8" s="3261"/>
      <c r="K8" s="3238"/>
      <c r="L8" s="3240"/>
      <c r="M8" s="3242"/>
      <c r="N8" s="3348"/>
    </row>
    <row r="9" spans="1:103" s="1759" customFormat="1" ht="15.75" customHeight="1" thickBot="1" x14ac:dyDescent="0.25">
      <c r="A9" s="3456">
        <v>1</v>
      </c>
      <c r="B9" s="3457"/>
      <c r="C9" s="1753">
        <v>2</v>
      </c>
      <c r="D9" s="1754">
        <v>3</v>
      </c>
      <c r="E9" s="1755"/>
      <c r="F9" s="1755"/>
      <c r="G9" s="1755">
        <v>4</v>
      </c>
      <c r="H9" s="1756">
        <v>5</v>
      </c>
      <c r="I9" s="1754">
        <v>6</v>
      </c>
      <c r="J9" s="1755">
        <v>7</v>
      </c>
      <c r="K9" s="1755">
        <v>8</v>
      </c>
      <c r="L9" s="1757">
        <v>9</v>
      </c>
      <c r="M9" s="1755">
        <v>10</v>
      </c>
      <c r="N9" s="1758">
        <v>10</v>
      </c>
    </row>
    <row r="10" spans="1:103" s="611" customFormat="1" ht="18" customHeight="1" thickBot="1" x14ac:dyDescent="0.25">
      <c r="A10" s="1760"/>
      <c r="B10" s="600" t="s">
        <v>162</v>
      </c>
      <c r="C10" s="601"/>
      <c r="D10" s="602">
        <f>D11+D12</f>
        <v>880279</v>
      </c>
      <c r="E10" s="605">
        <f t="shared" ref="E10:G10" si="0">E11+E12</f>
        <v>0</v>
      </c>
      <c r="F10" s="605">
        <f t="shared" si="0"/>
        <v>219671</v>
      </c>
      <c r="G10" s="605">
        <f t="shared" si="0"/>
        <v>204818</v>
      </c>
      <c r="H10" s="605">
        <f>H11+H12</f>
        <v>455790</v>
      </c>
      <c r="I10" s="602">
        <f>I11+I12</f>
        <v>221201.27000000002</v>
      </c>
      <c r="J10" s="607">
        <f>I10/D10*100</f>
        <v>25.128541064821498</v>
      </c>
      <c r="K10" s="605">
        <f t="shared" ref="K10" si="1">K11+K12</f>
        <v>15678.27</v>
      </c>
      <c r="L10" s="607">
        <f>K10/G10*100</f>
        <v>7.6547324942143762</v>
      </c>
      <c r="M10" s="603">
        <f t="shared" ref="M10:M20" si="2">+K10-G10</f>
        <v>-189139.73</v>
      </c>
      <c r="N10" s="1761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  <c r="AK10" s="610"/>
      <c r="AL10" s="610"/>
      <c r="AM10" s="610"/>
      <c r="AN10" s="610"/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  <c r="BC10" s="610"/>
      <c r="BD10" s="610"/>
      <c r="BE10" s="610"/>
      <c r="BF10" s="610"/>
      <c r="BG10" s="610"/>
      <c r="BH10" s="610"/>
    </row>
    <row r="11" spans="1:103" s="621" customFormat="1" ht="15" customHeight="1" thickTop="1" x14ac:dyDescent="0.2">
      <c r="A11" s="1762"/>
      <c r="B11" s="613" t="s">
        <v>163</v>
      </c>
      <c r="C11" s="614"/>
      <c r="D11" s="42">
        <f>D22+D31+D40</f>
        <v>880279</v>
      </c>
      <c r="E11" s="40">
        <f t="shared" ref="E11:H11" si="3">E22+E31+E40</f>
        <v>0</v>
      </c>
      <c r="F11" s="40">
        <f t="shared" si="3"/>
        <v>219671</v>
      </c>
      <c r="G11" s="40">
        <f t="shared" si="3"/>
        <v>204818</v>
      </c>
      <c r="H11" s="1439">
        <f t="shared" si="3"/>
        <v>455790</v>
      </c>
      <c r="I11" s="42">
        <f>I22+I31+I40</f>
        <v>221201.27000000002</v>
      </c>
      <c r="J11" s="1092">
        <f>I11/D11*100</f>
        <v>25.128541064821498</v>
      </c>
      <c r="K11" s="1439">
        <f>K22+K31+K40</f>
        <v>15678.27</v>
      </c>
      <c r="L11" s="1092">
        <f>K11/G11*100</f>
        <v>7.6547324942143762</v>
      </c>
      <c r="M11" s="40">
        <f t="shared" si="2"/>
        <v>-189139.73</v>
      </c>
      <c r="N11" s="1763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620"/>
      <c r="AM11" s="620"/>
      <c r="AN11" s="620"/>
      <c r="AO11" s="620"/>
      <c r="AP11" s="620"/>
      <c r="AQ11" s="620"/>
      <c r="AR11" s="620"/>
      <c r="AS11" s="620"/>
      <c r="AT11" s="620"/>
      <c r="AU11" s="620"/>
      <c r="AV11" s="620"/>
      <c r="AW11" s="620"/>
      <c r="AX11" s="620"/>
      <c r="AY11" s="620"/>
      <c r="AZ11" s="620"/>
      <c r="BA11" s="620"/>
      <c r="BB11" s="620"/>
      <c r="BC11" s="620"/>
      <c r="BD11" s="620"/>
      <c r="BE11" s="620"/>
      <c r="BF11" s="620"/>
      <c r="BG11" s="620"/>
      <c r="BH11" s="620"/>
    </row>
    <row r="12" spans="1:103" s="611" customFormat="1" ht="15" customHeight="1" thickBot="1" x14ac:dyDescent="0.25">
      <c r="A12" s="1764"/>
      <c r="B12" s="623" t="s">
        <v>164</v>
      </c>
      <c r="C12" s="624"/>
      <c r="D12" s="1765">
        <v>0</v>
      </c>
      <c r="E12" s="1766">
        <v>0</v>
      </c>
      <c r="F12" s="1766">
        <v>0</v>
      </c>
      <c r="G12" s="1766">
        <v>0</v>
      </c>
      <c r="H12" s="1766">
        <v>0</v>
      </c>
      <c r="I12" s="1765">
        <v>0</v>
      </c>
      <c r="J12" s="1767">
        <v>0</v>
      </c>
      <c r="K12" s="1768">
        <v>0</v>
      </c>
      <c r="L12" s="1769">
        <v>0</v>
      </c>
      <c r="M12" s="1770">
        <f t="shared" si="2"/>
        <v>0</v>
      </c>
      <c r="N12" s="1761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/>
      <c r="AO12" s="610"/>
      <c r="AP12" s="610"/>
      <c r="AQ12" s="610"/>
      <c r="AR12" s="610"/>
      <c r="AS12" s="610"/>
      <c r="AT12" s="610"/>
      <c r="AU12" s="610"/>
      <c r="AV12" s="610"/>
      <c r="AW12" s="610"/>
      <c r="AX12" s="610"/>
      <c r="AY12" s="610"/>
      <c r="AZ12" s="610"/>
      <c r="BA12" s="610"/>
      <c r="BB12" s="610"/>
      <c r="BC12" s="610"/>
      <c r="BD12" s="610"/>
      <c r="BE12" s="610"/>
      <c r="BF12" s="610"/>
      <c r="BG12" s="610"/>
      <c r="BH12" s="610"/>
    </row>
    <row r="13" spans="1:103" s="1745" customFormat="1" ht="13.5" customHeight="1" x14ac:dyDescent="0.2">
      <c r="A13" s="3432"/>
      <c r="B13" s="631" t="s">
        <v>2</v>
      </c>
      <c r="C13" s="632"/>
      <c r="D13" s="1771">
        <f>+D14+D16</f>
        <v>880279</v>
      </c>
      <c r="E13" s="1772">
        <f t="shared" ref="E13:H13" si="4">+E14+E16</f>
        <v>0</v>
      </c>
      <c r="F13" s="1773">
        <f t="shared" si="4"/>
        <v>219671</v>
      </c>
      <c r="G13" s="1773">
        <f t="shared" si="4"/>
        <v>204818</v>
      </c>
      <c r="H13" s="1773">
        <f t="shared" si="4"/>
        <v>455790</v>
      </c>
      <c r="I13" s="1774">
        <f>+I14+I16</f>
        <v>221201.27000000002</v>
      </c>
      <c r="J13" s="637">
        <f t="shared" ref="J13:J20" si="5">I13/D13*100</f>
        <v>25.128541064821498</v>
      </c>
      <c r="K13" s="1773">
        <f t="shared" ref="K13" si="6">+K14+K16</f>
        <v>15678.27</v>
      </c>
      <c r="L13" s="637">
        <f t="shared" ref="L13:L20" si="7">K13/G13*100</f>
        <v>7.6547324942143762</v>
      </c>
      <c r="M13" s="1775">
        <f t="shared" si="2"/>
        <v>-189139.73</v>
      </c>
      <c r="N13" s="3435" t="s">
        <v>78</v>
      </c>
    </row>
    <row r="14" spans="1:103" s="1781" customFormat="1" ht="14.25" customHeight="1" x14ac:dyDescent="0.2">
      <c r="A14" s="3433"/>
      <c r="B14" s="1776" t="s">
        <v>3</v>
      </c>
      <c r="C14" s="3438" t="s">
        <v>78</v>
      </c>
      <c r="D14" s="1777">
        <f t="shared" ref="D14:H14" si="8">+D15</f>
        <v>370618</v>
      </c>
      <c r="E14" s="1778">
        <f t="shared" si="8"/>
        <v>0</v>
      </c>
      <c r="F14" s="1779">
        <f t="shared" si="8"/>
        <v>84471</v>
      </c>
      <c r="G14" s="1779">
        <f t="shared" si="8"/>
        <v>76498</v>
      </c>
      <c r="H14" s="1779">
        <f t="shared" si="8"/>
        <v>209649</v>
      </c>
      <c r="I14" s="1777">
        <f>+I15</f>
        <v>81842</v>
      </c>
      <c r="J14" s="646">
        <f t="shared" si="5"/>
        <v>22.082575589960552</v>
      </c>
      <c r="K14" s="1779">
        <f t="shared" ref="K14" si="9">+K15</f>
        <v>2449</v>
      </c>
      <c r="L14" s="646">
        <f t="shared" si="7"/>
        <v>3.2013908860362363</v>
      </c>
      <c r="M14" s="1780">
        <f t="shared" si="2"/>
        <v>-74049</v>
      </c>
      <c r="N14" s="3436"/>
      <c r="O14" s="620"/>
      <c r="P14" s="620"/>
      <c r="Q14" s="620"/>
      <c r="R14" s="620"/>
      <c r="S14" s="620"/>
      <c r="T14" s="620"/>
    </row>
    <row r="15" spans="1:103" s="1788" customFormat="1" ht="13.5" customHeight="1" x14ac:dyDescent="0.2">
      <c r="A15" s="3433"/>
      <c r="B15" s="1782" t="s">
        <v>4</v>
      </c>
      <c r="C15" s="3438"/>
      <c r="D15" s="1783">
        <f>D24+D33</f>
        <v>370618</v>
      </c>
      <c r="E15" s="1784">
        <f t="shared" ref="E15:F15" si="10">E24+E33</f>
        <v>0</v>
      </c>
      <c r="F15" s="1785">
        <f t="shared" si="10"/>
        <v>84471</v>
      </c>
      <c r="G15" s="1786">
        <f t="shared" ref="G15" si="11">G24+G33</f>
        <v>76498</v>
      </c>
      <c r="H15" s="1786">
        <f>H24+H33</f>
        <v>209649</v>
      </c>
      <c r="I15" s="1783">
        <f>I24+I33</f>
        <v>81842</v>
      </c>
      <c r="J15" s="657">
        <f t="shared" si="5"/>
        <v>22.082575589960552</v>
      </c>
      <c r="K15" s="1787">
        <f>K24+K33</f>
        <v>2449</v>
      </c>
      <c r="L15" s="657">
        <f t="shared" si="7"/>
        <v>3.2013908860362363</v>
      </c>
      <c r="M15" s="1785">
        <f t="shared" si="2"/>
        <v>-74049</v>
      </c>
      <c r="N15" s="3436"/>
    </row>
    <row r="16" spans="1:103" s="1781" customFormat="1" ht="13.5" customHeight="1" x14ac:dyDescent="0.2">
      <c r="A16" s="3433"/>
      <c r="B16" s="1451" t="s">
        <v>12</v>
      </c>
      <c r="C16" s="3438"/>
      <c r="D16" s="1777">
        <f t="shared" ref="D16:H16" si="12">D17</f>
        <v>509661</v>
      </c>
      <c r="E16" s="1778">
        <f t="shared" si="12"/>
        <v>0</v>
      </c>
      <c r="F16" s="1779">
        <f t="shared" si="12"/>
        <v>135200</v>
      </c>
      <c r="G16" s="1779">
        <f t="shared" si="12"/>
        <v>128320</v>
      </c>
      <c r="H16" s="1779">
        <f t="shared" si="12"/>
        <v>246141</v>
      </c>
      <c r="I16" s="1777">
        <f t="shared" ref="I16:K16" si="13">I17</f>
        <v>139359.27000000002</v>
      </c>
      <c r="J16" s="1789">
        <f t="shared" si="5"/>
        <v>27.343522459046309</v>
      </c>
      <c r="K16" s="1790">
        <f t="shared" si="13"/>
        <v>13229.27</v>
      </c>
      <c r="L16" s="1789">
        <f t="shared" si="7"/>
        <v>10.309593204488779</v>
      </c>
      <c r="M16" s="1780">
        <f t="shared" si="2"/>
        <v>-115090.73</v>
      </c>
      <c r="N16" s="3436"/>
      <c r="O16" s="1456"/>
      <c r="P16" s="1456"/>
      <c r="Q16" s="1456"/>
      <c r="R16" s="1456"/>
      <c r="S16" s="1456"/>
      <c r="T16" s="1456"/>
    </row>
    <row r="17" spans="1:20" s="1792" customFormat="1" ht="14.1" customHeight="1" x14ac:dyDescent="0.2">
      <c r="A17" s="3433"/>
      <c r="B17" s="690" t="s">
        <v>13</v>
      </c>
      <c r="C17" s="3438"/>
      <c r="D17" s="1783">
        <f>D26+D35+D42</f>
        <v>509661</v>
      </c>
      <c r="E17" s="1784">
        <f t="shared" ref="E17:H17" si="14">E26+E35+E42</f>
        <v>0</v>
      </c>
      <c r="F17" s="1786">
        <f t="shared" si="14"/>
        <v>135200</v>
      </c>
      <c r="G17" s="1786">
        <f t="shared" si="14"/>
        <v>128320</v>
      </c>
      <c r="H17" s="1786">
        <f t="shared" si="14"/>
        <v>246141</v>
      </c>
      <c r="I17" s="1783">
        <f>I26+I35+I42</f>
        <v>139359.27000000002</v>
      </c>
      <c r="J17" s="1791">
        <f t="shared" si="5"/>
        <v>27.343522459046309</v>
      </c>
      <c r="K17" s="1787">
        <f>K26+K35+K42</f>
        <v>13229.27</v>
      </c>
      <c r="L17" s="1791">
        <f t="shared" si="7"/>
        <v>10.309593204488779</v>
      </c>
      <c r="M17" s="1785">
        <f t="shared" si="2"/>
        <v>-115090.73</v>
      </c>
      <c r="N17" s="3436"/>
      <c r="O17" s="610"/>
      <c r="P17" s="610"/>
      <c r="Q17" s="610"/>
      <c r="R17" s="610"/>
      <c r="S17" s="610"/>
      <c r="T17" s="610"/>
    </row>
    <row r="18" spans="1:20" s="1792" customFormat="1" ht="14.1" customHeight="1" x14ac:dyDescent="0.2">
      <c r="A18" s="3433"/>
      <c r="B18" s="220" t="s">
        <v>16</v>
      </c>
      <c r="C18" s="1793"/>
      <c r="D18" s="1794">
        <f t="shared" ref="D18:H18" si="15">+D19</f>
        <v>509661</v>
      </c>
      <c r="E18" s="1795">
        <f t="shared" si="15"/>
        <v>0</v>
      </c>
      <c r="F18" s="1679">
        <f t="shared" si="15"/>
        <v>157963</v>
      </c>
      <c r="G18" s="1679">
        <f t="shared" si="15"/>
        <v>88428</v>
      </c>
      <c r="H18" s="1679">
        <f t="shared" si="15"/>
        <v>263270</v>
      </c>
      <c r="I18" s="1794">
        <f t="shared" ref="I18:K18" si="16">+I19</f>
        <v>212648</v>
      </c>
      <c r="J18" s="1796">
        <f t="shared" si="5"/>
        <v>41.72342007726705</v>
      </c>
      <c r="K18" s="1679">
        <f t="shared" si="16"/>
        <v>54614</v>
      </c>
      <c r="L18" s="1796">
        <f t="shared" si="7"/>
        <v>61.760980684850949</v>
      </c>
      <c r="M18" s="1797">
        <f t="shared" si="2"/>
        <v>-33814</v>
      </c>
      <c r="N18" s="3436"/>
      <c r="O18" s="610"/>
      <c r="P18" s="610"/>
      <c r="Q18" s="610"/>
      <c r="R18" s="610"/>
      <c r="S18" s="610"/>
      <c r="T18" s="610"/>
    </row>
    <row r="19" spans="1:20" s="1781" customFormat="1" ht="14.1" customHeight="1" x14ac:dyDescent="0.2">
      <c r="A19" s="3433"/>
      <c r="B19" s="1451" t="s">
        <v>12</v>
      </c>
      <c r="C19" s="3438"/>
      <c r="D19" s="1777">
        <f t="shared" ref="D19:K19" si="17">D20</f>
        <v>509661</v>
      </c>
      <c r="E19" s="1778">
        <f t="shared" si="17"/>
        <v>0</v>
      </c>
      <c r="F19" s="1779">
        <f t="shared" si="17"/>
        <v>157963</v>
      </c>
      <c r="G19" s="1779">
        <f t="shared" si="17"/>
        <v>88428</v>
      </c>
      <c r="H19" s="1779">
        <f t="shared" si="17"/>
        <v>263270</v>
      </c>
      <c r="I19" s="1777">
        <f t="shared" si="17"/>
        <v>212648</v>
      </c>
      <c r="J19" s="1798">
        <f t="shared" si="5"/>
        <v>41.72342007726705</v>
      </c>
      <c r="K19" s="1779">
        <f t="shared" si="17"/>
        <v>54614</v>
      </c>
      <c r="L19" s="1791">
        <f t="shared" si="7"/>
        <v>61.760980684850949</v>
      </c>
      <c r="M19" s="1780">
        <f t="shared" si="2"/>
        <v>-33814</v>
      </c>
      <c r="N19" s="3436"/>
      <c r="O19" s="1456"/>
      <c r="P19" s="1456"/>
      <c r="Q19" s="1456"/>
      <c r="R19" s="1456"/>
      <c r="S19" s="1456"/>
      <c r="T19" s="1456"/>
    </row>
    <row r="20" spans="1:20" s="1792" customFormat="1" ht="13.5" thickBot="1" x14ac:dyDescent="0.25">
      <c r="A20" s="3434"/>
      <c r="B20" s="1799" t="s">
        <v>13</v>
      </c>
      <c r="C20" s="3439"/>
      <c r="D20" s="1800">
        <f>D29+D38+D45</f>
        <v>509661</v>
      </c>
      <c r="E20" s="1801">
        <f t="shared" ref="E20:H20" si="18">E29+E38+E45</f>
        <v>0</v>
      </c>
      <c r="F20" s="1802">
        <f t="shared" si="18"/>
        <v>157963</v>
      </c>
      <c r="G20" s="1802">
        <f t="shared" si="18"/>
        <v>88428</v>
      </c>
      <c r="H20" s="1803">
        <f t="shared" si="18"/>
        <v>263270</v>
      </c>
      <c r="I20" s="1804">
        <f>I29+I38+I45</f>
        <v>212648</v>
      </c>
      <c r="J20" s="1798">
        <f t="shared" si="5"/>
        <v>41.72342007726705</v>
      </c>
      <c r="K20" s="1805">
        <f>K29+K38+K45</f>
        <v>54614</v>
      </c>
      <c r="L20" s="1791">
        <f t="shared" si="7"/>
        <v>61.760980684850949</v>
      </c>
      <c r="M20" s="1802">
        <f t="shared" si="2"/>
        <v>-33814</v>
      </c>
      <c r="N20" s="3437"/>
      <c r="O20" s="610"/>
      <c r="P20" s="610"/>
      <c r="Q20" s="610"/>
      <c r="R20" s="610"/>
      <c r="S20" s="610"/>
      <c r="T20" s="610"/>
    </row>
    <row r="21" spans="1:20" s="24" customFormat="1" ht="65.25" customHeight="1" x14ac:dyDescent="0.2">
      <c r="A21" s="3440" t="s">
        <v>32</v>
      </c>
      <c r="B21" s="1806" t="s">
        <v>264</v>
      </c>
      <c r="C21" s="1807" t="s">
        <v>171</v>
      </c>
      <c r="D21" s="1808"/>
      <c r="E21" s="1809"/>
      <c r="F21" s="1809"/>
      <c r="G21" s="1810"/>
      <c r="H21" s="1811"/>
      <c r="I21" s="1812"/>
      <c r="J21" s="1813"/>
      <c r="K21" s="1814"/>
      <c r="L21" s="1815"/>
      <c r="M21" s="1816"/>
      <c r="N21" s="3443" t="s">
        <v>210</v>
      </c>
    </row>
    <row r="22" spans="1:20" s="24" customFormat="1" ht="13.5" customHeight="1" x14ac:dyDescent="0.2">
      <c r="A22" s="3441"/>
      <c r="B22" s="220" t="s">
        <v>2</v>
      </c>
      <c r="C22" s="25"/>
      <c r="D22" s="233">
        <f t="shared" ref="D22" si="19">+D23+D25</f>
        <v>84809</v>
      </c>
      <c r="E22" s="287">
        <f>+E23+E25</f>
        <v>0</v>
      </c>
      <c r="F22" s="1817">
        <f>+F23+F25</f>
        <v>57581</v>
      </c>
      <c r="G22" s="234">
        <f t="shared" ref="G22:H22" si="20">+G23+G25</f>
        <v>27228</v>
      </c>
      <c r="H22" s="241">
        <f t="shared" si="20"/>
        <v>0</v>
      </c>
      <c r="I22" s="233">
        <f>+E22+F22+K22</f>
        <v>64166.270000000004</v>
      </c>
      <c r="J22" s="743">
        <f>I22/D22*100</f>
        <v>75.659741301041166</v>
      </c>
      <c r="K22" s="234">
        <f>K23+K25</f>
        <v>6585.27</v>
      </c>
      <c r="L22" s="743">
        <f t="shared" ref="L22:L29" si="21">K22/G22*100</f>
        <v>24.185654473336275</v>
      </c>
      <c r="M22" s="234">
        <f t="shared" ref="M22:M29" si="22">+K22-G22</f>
        <v>-20642.73</v>
      </c>
      <c r="N22" s="3444"/>
    </row>
    <row r="23" spans="1:20" s="24" customFormat="1" ht="13.5" customHeight="1" x14ac:dyDescent="0.2">
      <c r="A23" s="3441"/>
      <c r="B23" s="1818" t="s">
        <v>17</v>
      </c>
      <c r="C23" s="3231" t="s">
        <v>265</v>
      </c>
      <c r="D23" s="277">
        <f>+D24</f>
        <v>21203</v>
      </c>
      <c r="E23" s="284">
        <f t="shared" ref="E23:H23" si="23">+E24</f>
        <v>0</v>
      </c>
      <c r="F23" s="1819">
        <f t="shared" si="23"/>
        <v>14588</v>
      </c>
      <c r="G23" s="278">
        <f t="shared" si="23"/>
        <v>6615</v>
      </c>
      <c r="H23" s="288">
        <f t="shared" si="23"/>
        <v>0</v>
      </c>
      <c r="I23" s="277">
        <f t="shared" ref="I23:I28" si="24">+E23+F23+K23</f>
        <v>16234</v>
      </c>
      <c r="J23" s="1820">
        <f t="shared" ref="J23:J29" si="25">I23/D23*100</f>
        <v>76.564637079658539</v>
      </c>
      <c r="K23" s="1821">
        <f>K24</f>
        <v>1646</v>
      </c>
      <c r="L23" s="1820">
        <f t="shared" si="21"/>
        <v>24.882842025699166</v>
      </c>
      <c r="M23" s="278">
        <f t="shared" si="22"/>
        <v>-4969</v>
      </c>
      <c r="N23" s="3444"/>
    </row>
    <row r="24" spans="1:20" s="24" customFormat="1" ht="13.5" customHeight="1" x14ac:dyDescent="0.2">
      <c r="A24" s="3441"/>
      <c r="B24" s="243" t="s">
        <v>4</v>
      </c>
      <c r="C24" s="3446"/>
      <c r="D24" s="1822">
        <f>+E24+F24+G24+H24</f>
        <v>21203</v>
      </c>
      <c r="E24" s="250">
        <v>0</v>
      </c>
      <c r="F24" s="1823">
        <v>14588</v>
      </c>
      <c r="G24" s="779">
        <v>6615</v>
      </c>
      <c r="H24" s="1824">
        <v>0</v>
      </c>
      <c r="I24" s="1587">
        <f>+E24+F24+K24</f>
        <v>16234</v>
      </c>
      <c r="J24" s="780">
        <f>I24/D24*100</f>
        <v>76.564637079658539</v>
      </c>
      <c r="K24" s="779">
        <v>1646</v>
      </c>
      <c r="L24" s="780">
        <f>K24/G24*100</f>
        <v>24.882842025699166</v>
      </c>
      <c r="M24" s="779">
        <f t="shared" si="22"/>
        <v>-4969</v>
      </c>
      <c r="N24" s="3444"/>
    </row>
    <row r="25" spans="1:20" s="24" customFormat="1" ht="13.5" customHeight="1" x14ac:dyDescent="0.2">
      <c r="A25" s="3441"/>
      <c r="B25" s="253" t="s">
        <v>12</v>
      </c>
      <c r="C25" s="3446"/>
      <c r="D25" s="254">
        <f t="shared" ref="D25:H25" si="26">+D26</f>
        <v>63606</v>
      </c>
      <c r="E25" s="944">
        <f t="shared" si="26"/>
        <v>0</v>
      </c>
      <c r="F25" s="1825">
        <f t="shared" si="26"/>
        <v>42993</v>
      </c>
      <c r="G25" s="813">
        <f t="shared" si="26"/>
        <v>20613</v>
      </c>
      <c r="H25" s="814">
        <f t="shared" si="26"/>
        <v>0</v>
      </c>
      <c r="I25" s="254">
        <f t="shared" si="24"/>
        <v>47932.270000000004</v>
      </c>
      <c r="J25" s="144">
        <f t="shared" si="25"/>
        <v>75.358095148256467</v>
      </c>
      <c r="K25" s="1087">
        <f>K26</f>
        <v>4939.2700000000004</v>
      </c>
      <c r="L25" s="144">
        <f t="shared" si="21"/>
        <v>23.961917236695289</v>
      </c>
      <c r="M25" s="813">
        <f t="shared" si="22"/>
        <v>-15673.73</v>
      </c>
      <c r="N25" s="3444"/>
    </row>
    <row r="26" spans="1:20" s="24" customFormat="1" ht="13.5" customHeight="1" x14ac:dyDescent="0.2">
      <c r="A26" s="3441"/>
      <c r="B26" s="1826" t="s">
        <v>13</v>
      </c>
      <c r="C26" s="3447"/>
      <c r="D26" s="1822">
        <f>+E26+F26+G26+H26</f>
        <v>63606</v>
      </c>
      <c r="E26" s="250">
        <v>0</v>
      </c>
      <c r="F26" s="1827">
        <v>42993</v>
      </c>
      <c r="G26" s="1217">
        <v>20613</v>
      </c>
      <c r="H26" s="247">
        <v>0</v>
      </c>
      <c r="I26" s="1587">
        <f t="shared" si="24"/>
        <v>47932.270000000004</v>
      </c>
      <c r="J26" s="1828">
        <f t="shared" si="25"/>
        <v>75.358095148256467</v>
      </c>
      <c r="K26" s="1829">
        <v>4939.2700000000004</v>
      </c>
      <c r="L26" s="1828">
        <f t="shared" si="21"/>
        <v>23.961917236695289</v>
      </c>
      <c r="M26" s="1217">
        <f t="shared" si="22"/>
        <v>-15673.73</v>
      </c>
      <c r="N26" s="3444"/>
    </row>
    <row r="27" spans="1:20" s="24" customFormat="1" ht="13.5" customHeight="1" x14ac:dyDescent="0.2">
      <c r="A27" s="3441"/>
      <c r="B27" s="220" t="s">
        <v>16</v>
      </c>
      <c r="C27" s="1830"/>
      <c r="D27" s="1831">
        <f>+D28</f>
        <v>63606</v>
      </c>
      <c r="E27" s="1832">
        <f t="shared" ref="E27:H28" si="27">+E28</f>
        <v>0</v>
      </c>
      <c r="F27" s="1833">
        <f t="shared" si="27"/>
        <v>50885</v>
      </c>
      <c r="G27" s="1834">
        <f t="shared" si="27"/>
        <v>12721</v>
      </c>
      <c r="H27" s="1835">
        <f t="shared" si="27"/>
        <v>0</v>
      </c>
      <c r="I27" s="1836">
        <f t="shared" si="24"/>
        <v>50885</v>
      </c>
      <c r="J27" s="743">
        <f t="shared" si="25"/>
        <v>80.000314435745054</v>
      </c>
      <c r="K27" s="234">
        <f>K28</f>
        <v>0</v>
      </c>
      <c r="L27" s="743">
        <f t="shared" si="21"/>
        <v>0</v>
      </c>
      <c r="M27" s="1834">
        <f t="shared" si="22"/>
        <v>-12721</v>
      </c>
      <c r="N27" s="3444"/>
    </row>
    <row r="28" spans="1:20" s="1844" customFormat="1" ht="12.75" customHeight="1" x14ac:dyDescent="0.2">
      <c r="A28" s="3441"/>
      <c r="B28" s="1837" t="s">
        <v>12</v>
      </c>
      <c r="C28" s="3448" t="s">
        <v>266</v>
      </c>
      <c r="D28" s="1838">
        <f>+D29</f>
        <v>63606</v>
      </c>
      <c r="E28" s="257">
        <f t="shared" si="27"/>
        <v>0</v>
      </c>
      <c r="F28" s="1839">
        <f t="shared" si="27"/>
        <v>50885</v>
      </c>
      <c r="G28" s="255">
        <f t="shared" si="27"/>
        <v>12721</v>
      </c>
      <c r="H28" s="259">
        <f t="shared" si="27"/>
        <v>0</v>
      </c>
      <c r="I28" s="1840">
        <f t="shared" si="24"/>
        <v>50885</v>
      </c>
      <c r="J28" s="1841">
        <f t="shared" si="25"/>
        <v>80.000314435745054</v>
      </c>
      <c r="K28" s="1842">
        <f>K29</f>
        <v>0</v>
      </c>
      <c r="L28" s="1841">
        <f t="shared" si="21"/>
        <v>0</v>
      </c>
      <c r="M28" s="255">
        <f t="shared" si="22"/>
        <v>-12721</v>
      </c>
      <c r="N28" s="3444"/>
    </row>
    <row r="29" spans="1:20" s="24" customFormat="1" ht="17.25" customHeight="1" thickBot="1" x14ac:dyDescent="0.25">
      <c r="A29" s="3442"/>
      <c r="B29" s="1845" t="s">
        <v>13</v>
      </c>
      <c r="C29" s="3115"/>
      <c r="D29" s="262">
        <f>+E29+F29+G29+H29</f>
        <v>63606</v>
      </c>
      <c r="E29" s="818">
        <v>0</v>
      </c>
      <c r="F29" s="1846">
        <v>50885</v>
      </c>
      <c r="G29" s="263">
        <v>12721</v>
      </c>
      <c r="H29" s="265">
        <v>0</v>
      </c>
      <c r="I29" s="1613">
        <f>+E29+F29+K29</f>
        <v>50885</v>
      </c>
      <c r="J29" s="1847">
        <f t="shared" si="25"/>
        <v>80.000314435745054</v>
      </c>
      <c r="K29" s="403">
        <v>0</v>
      </c>
      <c r="L29" s="1847">
        <f t="shared" si="21"/>
        <v>0</v>
      </c>
      <c r="M29" s="263">
        <f t="shared" si="22"/>
        <v>-12721</v>
      </c>
      <c r="N29" s="3445"/>
    </row>
    <row r="30" spans="1:20" s="24" customFormat="1" ht="30" customHeight="1" x14ac:dyDescent="0.2">
      <c r="A30" s="3440" t="s">
        <v>35</v>
      </c>
      <c r="B30" s="1806" t="s">
        <v>267</v>
      </c>
      <c r="C30" s="1807"/>
      <c r="D30" s="1812"/>
      <c r="E30" s="1848"/>
      <c r="F30" s="1848"/>
      <c r="G30" s="1816"/>
      <c r="H30" s="1849"/>
      <c r="I30" s="1812"/>
      <c r="J30" s="1813"/>
      <c r="K30" s="1814"/>
      <c r="L30" s="1813"/>
      <c r="M30" s="1816"/>
      <c r="N30" s="3443" t="s">
        <v>210</v>
      </c>
    </row>
    <row r="31" spans="1:20" s="24" customFormat="1" ht="17.25" customHeight="1" x14ac:dyDescent="0.2">
      <c r="A31" s="3441"/>
      <c r="B31" s="220" t="s">
        <v>2</v>
      </c>
      <c r="C31" s="25"/>
      <c r="D31" s="233">
        <f t="shared" ref="D31" si="28">+D32+D34</f>
        <v>727950</v>
      </c>
      <c r="E31" s="287">
        <v>0</v>
      </c>
      <c r="F31" s="1850">
        <f>+F32+F34</f>
        <v>145590</v>
      </c>
      <c r="G31" s="234">
        <f t="shared" ref="G31:H31" si="29">+G32+G34</f>
        <v>145590</v>
      </c>
      <c r="H31" s="241">
        <f t="shared" si="29"/>
        <v>436770</v>
      </c>
      <c r="I31" s="233">
        <f>+E31+F31+K31-5078-9070</f>
        <v>133560</v>
      </c>
      <c r="J31" s="743">
        <f t="shared" ref="J31:J38" si="30">I31/D31*100</f>
        <v>18.347413970739748</v>
      </c>
      <c r="K31" s="234">
        <f>K32+K34</f>
        <v>2118</v>
      </c>
      <c r="L31" s="743">
        <f t="shared" ref="L31:L38" si="31">K31/G31*100</f>
        <v>1.4547702452091491</v>
      </c>
      <c r="M31" s="234">
        <f t="shared" ref="M31:M38" si="32">+K31-G31</f>
        <v>-143472</v>
      </c>
      <c r="N31" s="3444"/>
    </row>
    <row r="32" spans="1:20" s="24" customFormat="1" ht="17.25" customHeight="1" x14ac:dyDescent="0.2">
      <c r="A32" s="3441"/>
      <c r="B32" s="1818" t="s">
        <v>17</v>
      </c>
      <c r="C32" s="3231" t="s">
        <v>268</v>
      </c>
      <c r="D32" s="277">
        <f t="shared" ref="D32" si="33">+D33</f>
        <v>349415</v>
      </c>
      <c r="E32" s="284">
        <v>0</v>
      </c>
      <c r="F32" s="1851">
        <f>+F33</f>
        <v>69883</v>
      </c>
      <c r="G32" s="278">
        <f t="shared" ref="G32:H32" si="34">+G33</f>
        <v>69883</v>
      </c>
      <c r="H32" s="288">
        <f t="shared" si="34"/>
        <v>209649</v>
      </c>
      <c r="I32" s="277">
        <f>+E32+F32+K32-5078</f>
        <v>65608</v>
      </c>
      <c r="J32" s="1820">
        <f>I32/D32*100</f>
        <v>18.776526479973672</v>
      </c>
      <c r="K32" s="1821">
        <f>K33</f>
        <v>803</v>
      </c>
      <c r="L32" s="1820">
        <f t="shared" si="31"/>
        <v>1.1490634345978279</v>
      </c>
      <c r="M32" s="278">
        <f t="shared" si="32"/>
        <v>-69080</v>
      </c>
      <c r="N32" s="3444"/>
    </row>
    <row r="33" spans="1:14" s="24" customFormat="1" ht="17.25" customHeight="1" thickBot="1" x14ac:dyDescent="0.25">
      <c r="A33" s="3441"/>
      <c r="B33" s="243" t="s">
        <v>4</v>
      </c>
      <c r="C33" s="3102"/>
      <c r="D33" s="244">
        <f>+E33+F33+G33+H33</f>
        <v>349415</v>
      </c>
      <c r="E33" s="250">
        <v>0</v>
      </c>
      <c r="F33" s="1852">
        <v>69883</v>
      </c>
      <c r="G33" s="779">
        <v>69883</v>
      </c>
      <c r="H33" s="247">
        <f>69883+69883+69883</f>
        <v>209649</v>
      </c>
      <c r="I33" s="1587">
        <f>+E33+F33+K33-5078</f>
        <v>65608</v>
      </c>
      <c r="J33" s="780">
        <f t="shared" si="30"/>
        <v>18.776526479973672</v>
      </c>
      <c r="K33" s="779">
        <v>803</v>
      </c>
      <c r="L33" s="780">
        <f t="shared" si="31"/>
        <v>1.1490634345978279</v>
      </c>
      <c r="M33" s="779">
        <f t="shared" si="32"/>
        <v>-69080</v>
      </c>
      <c r="N33" s="3444"/>
    </row>
    <row r="34" spans="1:14" s="24" customFormat="1" ht="15" customHeight="1" x14ac:dyDescent="0.2">
      <c r="A34" s="3449"/>
      <c r="B34" s="253" t="s">
        <v>12</v>
      </c>
      <c r="C34" s="3315"/>
      <c r="D34" s="254">
        <f t="shared" ref="D34" si="35">+D35</f>
        <v>378535</v>
      </c>
      <c r="E34" s="944">
        <v>0</v>
      </c>
      <c r="F34" s="1853">
        <f>+F35</f>
        <v>75707</v>
      </c>
      <c r="G34" s="813">
        <f t="shared" ref="G34:H34" si="36">+G35</f>
        <v>75707</v>
      </c>
      <c r="H34" s="814">
        <f t="shared" si="36"/>
        <v>227121</v>
      </c>
      <c r="I34" s="254">
        <f>+E34+F34+K34-9070</f>
        <v>67952</v>
      </c>
      <c r="J34" s="144">
        <f t="shared" si="30"/>
        <v>17.951312296088869</v>
      </c>
      <c r="K34" s="1087">
        <f>K35</f>
        <v>1315</v>
      </c>
      <c r="L34" s="144">
        <f t="shared" si="31"/>
        <v>1.7369595942251046</v>
      </c>
      <c r="M34" s="813">
        <f t="shared" si="32"/>
        <v>-74392</v>
      </c>
      <c r="N34" s="3443"/>
    </row>
    <row r="35" spans="1:14" s="24" customFormat="1" ht="15" customHeight="1" x14ac:dyDescent="0.2">
      <c r="A35" s="3441"/>
      <c r="B35" s="1854" t="s">
        <v>13</v>
      </c>
      <c r="C35" s="3101"/>
      <c r="D35" s="244">
        <f>+E35+F35+G35+H35</f>
        <v>378535</v>
      </c>
      <c r="E35" s="250">
        <v>0</v>
      </c>
      <c r="F35" s="1852">
        <v>75707</v>
      </c>
      <c r="G35" s="779">
        <v>75707</v>
      </c>
      <c r="H35" s="247">
        <f>75707+75707+75707</f>
        <v>227121</v>
      </c>
      <c r="I35" s="1587">
        <f>+E35+F35+K35-9070</f>
        <v>67952</v>
      </c>
      <c r="J35" s="780">
        <f>I35/D35*100</f>
        <v>17.951312296088869</v>
      </c>
      <c r="K35" s="779">
        <v>1315</v>
      </c>
      <c r="L35" s="780">
        <f t="shared" si="31"/>
        <v>1.7369595942251046</v>
      </c>
      <c r="M35" s="779">
        <f t="shared" si="32"/>
        <v>-74392</v>
      </c>
      <c r="N35" s="3444"/>
    </row>
    <row r="36" spans="1:14" s="24" customFormat="1" ht="17.25" customHeight="1" thickBot="1" x14ac:dyDescent="0.25">
      <c r="A36" s="3441"/>
      <c r="B36" s="220" t="s">
        <v>16</v>
      </c>
      <c r="C36" s="25"/>
      <c r="D36" s="233">
        <f>+D37</f>
        <v>378535</v>
      </c>
      <c r="E36" s="287">
        <v>0</v>
      </c>
      <c r="F36" s="1850">
        <f>+F37</f>
        <v>52995</v>
      </c>
      <c r="G36" s="234">
        <f t="shared" ref="G36:H37" si="37">+G37</f>
        <v>75707</v>
      </c>
      <c r="H36" s="241">
        <f t="shared" si="37"/>
        <v>249833</v>
      </c>
      <c r="I36" s="233">
        <f>+E36+F36+K36+71</f>
        <v>107680</v>
      </c>
      <c r="J36" s="743">
        <f t="shared" si="30"/>
        <v>28.446510890670613</v>
      </c>
      <c r="K36" s="234">
        <f>K37</f>
        <v>54614</v>
      </c>
      <c r="L36" s="743">
        <f t="shared" si="31"/>
        <v>72.138639755901039</v>
      </c>
      <c r="M36" s="234">
        <f t="shared" si="32"/>
        <v>-21093</v>
      </c>
      <c r="N36" s="3444"/>
    </row>
    <row r="37" spans="1:14" s="24" customFormat="1" ht="17.25" customHeight="1" x14ac:dyDescent="0.2">
      <c r="A37" s="3449"/>
      <c r="B37" s="1837" t="s">
        <v>12</v>
      </c>
      <c r="C37" s="3208" t="s">
        <v>268</v>
      </c>
      <c r="D37" s="254">
        <f>+D38</f>
        <v>378535</v>
      </c>
      <c r="E37" s="257">
        <v>0</v>
      </c>
      <c r="F37" s="1855">
        <f>+F38</f>
        <v>52995</v>
      </c>
      <c r="G37" s="255">
        <f t="shared" si="37"/>
        <v>75707</v>
      </c>
      <c r="H37" s="259">
        <f t="shared" si="37"/>
        <v>249833</v>
      </c>
      <c r="I37" s="254">
        <f>+E37+F37+K37+71</f>
        <v>107680</v>
      </c>
      <c r="J37" s="26">
        <f t="shared" si="30"/>
        <v>28.446510890670613</v>
      </c>
      <c r="K37" s="255">
        <f>K38</f>
        <v>54614</v>
      </c>
      <c r="L37" s="26">
        <f t="shared" si="31"/>
        <v>72.138639755901039</v>
      </c>
      <c r="M37" s="255">
        <f t="shared" si="32"/>
        <v>-21093</v>
      </c>
      <c r="N37" s="3443"/>
    </row>
    <row r="38" spans="1:14" s="24" customFormat="1" ht="18.75" customHeight="1" thickBot="1" x14ac:dyDescent="0.25">
      <c r="A38" s="3442"/>
      <c r="B38" s="1845" t="s">
        <v>13</v>
      </c>
      <c r="C38" s="3104"/>
      <c r="D38" s="262">
        <f>+E38+F38+G38+H38</f>
        <v>378535</v>
      </c>
      <c r="E38" s="818">
        <v>0</v>
      </c>
      <c r="F38" s="1856">
        <v>52995</v>
      </c>
      <c r="G38" s="263">
        <v>75707</v>
      </c>
      <c r="H38" s="265">
        <f>75707+75707+75707+22712</f>
        <v>249833</v>
      </c>
      <c r="I38" s="1613">
        <f>+E38+F38+K38+71</f>
        <v>107680</v>
      </c>
      <c r="J38" s="1847">
        <f t="shared" si="30"/>
        <v>28.446510890670613</v>
      </c>
      <c r="K38" s="403">
        <v>54614</v>
      </c>
      <c r="L38" s="1847">
        <f t="shared" si="31"/>
        <v>72.138639755901039</v>
      </c>
      <c r="M38" s="263">
        <f t="shared" si="32"/>
        <v>-21093</v>
      </c>
      <c r="N38" s="3445"/>
    </row>
    <row r="39" spans="1:14" s="24" customFormat="1" ht="66" customHeight="1" x14ac:dyDescent="0.2">
      <c r="A39" s="3450" t="s">
        <v>40</v>
      </c>
      <c r="B39" s="1806" t="s">
        <v>341</v>
      </c>
      <c r="C39" s="1857" t="s">
        <v>304</v>
      </c>
      <c r="D39" s="1812"/>
      <c r="E39" s="1848"/>
      <c r="F39" s="1848"/>
      <c r="G39" s="1816"/>
      <c r="H39" s="1849"/>
      <c r="I39" s="1812"/>
      <c r="J39" s="1813"/>
      <c r="K39" s="1814"/>
      <c r="L39" s="1813"/>
      <c r="M39" s="1816"/>
      <c r="N39" s="3401" t="s">
        <v>306</v>
      </c>
    </row>
    <row r="40" spans="1:14" s="24" customFormat="1" ht="17.25" customHeight="1" x14ac:dyDescent="0.2">
      <c r="A40" s="3451"/>
      <c r="B40" s="846" t="s">
        <v>2</v>
      </c>
      <c r="C40" s="1709"/>
      <c r="D40" s="233">
        <f>+D41</f>
        <v>67520</v>
      </c>
      <c r="E40" s="287">
        <v>0</v>
      </c>
      <c r="F40" s="234">
        <f>F41</f>
        <v>16500</v>
      </c>
      <c r="G40" s="234">
        <f>+G41</f>
        <v>32000</v>
      </c>
      <c r="H40" s="241">
        <f>+H41</f>
        <v>19020</v>
      </c>
      <c r="I40" s="233">
        <f t="shared" ref="I40:I45" si="38">+E40+F40+K40</f>
        <v>23475</v>
      </c>
      <c r="J40" s="743">
        <f t="shared" ref="J40:J45" si="39">I40/D40*100</f>
        <v>34.767476303317537</v>
      </c>
      <c r="K40" s="234">
        <f>K41</f>
        <v>6975</v>
      </c>
      <c r="L40" s="743">
        <f t="shared" ref="L40:L42" si="40">K40/G40*100</f>
        <v>21.796875</v>
      </c>
      <c r="M40" s="234">
        <f t="shared" ref="M40:M45" si="41">+K40-G40</f>
        <v>-25025</v>
      </c>
      <c r="N40" s="3158"/>
    </row>
    <row r="41" spans="1:14" s="24" customFormat="1" ht="16.5" customHeight="1" x14ac:dyDescent="0.2">
      <c r="A41" s="3451"/>
      <c r="B41" s="1858" t="s">
        <v>12</v>
      </c>
      <c r="C41" s="3158" t="s">
        <v>305</v>
      </c>
      <c r="D41" s="277">
        <f t="shared" ref="D41" si="42">+D42</f>
        <v>67520</v>
      </c>
      <c r="E41" s="284">
        <v>0</v>
      </c>
      <c r="F41" s="278">
        <f>F42</f>
        <v>16500</v>
      </c>
      <c r="G41" s="278">
        <f t="shared" ref="G41:H41" si="43">+G42</f>
        <v>32000</v>
      </c>
      <c r="H41" s="288">
        <f t="shared" si="43"/>
        <v>19020</v>
      </c>
      <c r="I41" s="395">
        <f t="shared" si="38"/>
        <v>23475</v>
      </c>
      <c r="J41" s="1859">
        <f t="shared" si="39"/>
        <v>34.767476303317537</v>
      </c>
      <c r="K41" s="1821">
        <f>K42</f>
        <v>6975</v>
      </c>
      <c r="L41" s="1859">
        <f t="shared" si="40"/>
        <v>21.796875</v>
      </c>
      <c r="M41" s="842">
        <f t="shared" si="41"/>
        <v>-25025</v>
      </c>
      <c r="N41" s="3158"/>
    </row>
    <row r="42" spans="1:14" s="24" customFormat="1" ht="13.5" customHeight="1" x14ac:dyDescent="0.2">
      <c r="A42" s="3451"/>
      <c r="B42" s="243" t="s">
        <v>13</v>
      </c>
      <c r="C42" s="3158"/>
      <c r="D42" s="244">
        <f>+E42+F42+G42+H42</f>
        <v>67520</v>
      </c>
      <c r="E42" s="250">
        <v>0</v>
      </c>
      <c r="F42" s="779">
        <v>16500</v>
      </c>
      <c r="G42" s="779">
        <v>32000</v>
      </c>
      <c r="H42" s="247">
        <v>19020</v>
      </c>
      <c r="I42" s="1587">
        <f t="shared" si="38"/>
        <v>23475</v>
      </c>
      <c r="J42" s="780">
        <f t="shared" si="39"/>
        <v>34.767476303317537</v>
      </c>
      <c r="K42" s="779">
        <v>6975</v>
      </c>
      <c r="L42" s="780">
        <f t="shared" si="40"/>
        <v>21.796875</v>
      </c>
      <c r="M42" s="779">
        <f t="shared" si="41"/>
        <v>-25025</v>
      </c>
      <c r="N42" s="3158"/>
    </row>
    <row r="43" spans="1:14" s="24" customFormat="1" ht="17.25" customHeight="1" x14ac:dyDescent="0.2">
      <c r="A43" s="3451"/>
      <c r="B43" s="846" t="s">
        <v>16</v>
      </c>
      <c r="C43" s="1860"/>
      <c r="D43" s="233">
        <f>+D44</f>
        <v>67520</v>
      </c>
      <c r="E43" s="287">
        <v>0</v>
      </c>
      <c r="F43" s="234">
        <f>F44</f>
        <v>54083</v>
      </c>
      <c r="G43" s="234">
        <f t="shared" ref="G43:H44" si="44">+G44</f>
        <v>0</v>
      </c>
      <c r="H43" s="241">
        <f t="shared" si="44"/>
        <v>13437</v>
      </c>
      <c r="I43" s="233">
        <f t="shared" si="38"/>
        <v>54083</v>
      </c>
      <c r="J43" s="743">
        <f t="shared" si="39"/>
        <v>80.099229857819907</v>
      </c>
      <c r="K43" s="234">
        <f>K44</f>
        <v>0</v>
      </c>
      <c r="L43" s="743">
        <v>0</v>
      </c>
      <c r="M43" s="234">
        <f t="shared" si="41"/>
        <v>0</v>
      </c>
      <c r="N43" s="3158"/>
    </row>
    <row r="44" spans="1:14" s="24" customFormat="1" ht="16.5" customHeight="1" x14ac:dyDescent="0.2">
      <c r="A44" s="3451"/>
      <c r="B44" s="1861" t="s">
        <v>12</v>
      </c>
      <c r="C44" s="3158" t="s">
        <v>305</v>
      </c>
      <c r="D44" s="254">
        <f>+D45</f>
        <v>67520</v>
      </c>
      <c r="E44" s="257">
        <v>0</v>
      </c>
      <c r="F44" s="255">
        <f>F45</f>
        <v>54083</v>
      </c>
      <c r="G44" s="255">
        <f t="shared" si="44"/>
        <v>0</v>
      </c>
      <c r="H44" s="259">
        <f t="shared" si="44"/>
        <v>13437</v>
      </c>
      <c r="I44" s="254">
        <f t="shared" si="38"/>
        <v>54083</v>
      </c>
      <c r="J44" s="26">
        <f t="shared" si="39"/>
        <v>80.099229857819907</v>
      </c>
      <c r="K44" s="255">
        <f>K45</f>
        <v>0</v>
      </c>
      <c r="L44" s="26">
        <v>0</v>
      </c>
      <c r="M44" s="255">
        <f t="shared" si="41"/>
        <v>0</v>
      </c>
      <c r="N44" s="3158"/>
    </row>
    <row r="45" spans="1:14" s="24" customFormat="1" ht="16.5" customHeight="1" thickBot="1" x14ac:dyDescent="0.25">
      <c r="A45" s="3452"/>
      <c r="B45" s="1845" t="s">
        <v>13</v>
      </c>
      <c r="C45" s="3159"/>
      <c r="D45" s="262">
        <f>+E45+F45+G45+H45</f>
        <v>67520</v>
      </c>
      <c r="E45" s="818">
        <v>0</v>
      </c>
      <c r="F45" s="263">
        <v>54083</v>
      </c>
      <c r="G45" s="263">
        <v>0</v>
      </c>
      <c r="H45" s="265">
        <v>13437</v>
      </c>
      <c r="I45" s="1613">
        <f t="shared" si="38"/>
        <v>54083</v>
      </c>
      <c r="J45" s="1847">
        <f t="shared" si="39"/>
        <v>80.099229857819907</v>
      </c>
      <c r="K45" s="403">
        <v>0</v>
      </c>
      <c r="L45" s="1847">
        <v>0</v>
      </c>
      <c r="M45" s="263">
        <f t="shared" si="41"/>
        <v>0</v>
      </c>
      <c r="N45" s="3159"/>
    </row>
    <row r="46" spans="1:14" s="24" customFormat="1" ht="7.5" customHeight="1" x14ac:dyDescent="0.2">
      <c r="A46" s="1862"/>
      <c r="B46" s="1863"/>
      <c r="C46" s="1864"/>
      <c r="D46" s="1865"/>
      <c r="E46" s="1866"/>
      <c r="F46" s="1866"/>
      <c r="G46" s="1867"/>
      <c r="H46" s="1867"/>
      <c r="I46" s="1868"/>
      <c r="J46" s="1869"/>
      <c r="K46" s="1870"/>
      <c r="L46" s="1869"/>
      <c r="M46" s="1867"/>
      <c r="N46" s="1871"/>
    </row>
    <row r="47" spans="1:14" s="24" customFormat="1" ht="25.5" customHeight="1" thickBot="1" x14ac:dyDescent="0.25">
      <c r="A47" s="3429" t="s">
        <v>209</v>
      </c>
      <c r="B47" s="3430"/>
      <c r="C47" s="3430"/>
      <c r="D47" s="3430"/>
      <c r="E47" s="3430"/>
      <c r="F47" s="3430"/>
      <c r="G47" s="3430"/>
      <c r="H47" s="3430"/>
      <c r="I47" s="3430"/>
      <c r="J47" s="3430"/>
      <c r="K47" s="3430"/>
      <c r="L47" s="3430"/>
      <c r="M47" s="3430"/>
      <c r="N47" s="3431"/>
    </row>
    <row r="48" spans="1:14" s="24" customFormat="1" ht="20.25" customHeight="1" thickBot="1" x14ac:dyDescent="0.25">
      <c r="A48" s="3453"/>
      <c r="B48" s="1872" t="s">
        <v>162</v>
      </c>
      <c r="C48" s="1873"/>
      <c r="D48" s="1874">
        <f t="shared" ref="D48:H48" si="45">D49+D50</f>
        <v>16994203</v>
      </c>
      <c r="E48" s="1875">
        <f t="shared" si="45"/>
        <v>10901413</v>
      </c>
      <c r="F48" s="1875">
        <f t="shared" si="45"/>
        <v>1787840</v>
      </c>
      <c r="G48" s="1875">
        <f t="shared" si="45"/>
        <v>3122300</v>
      </c>
      <c r="H48" s="1876">
        <f t="shared" si="45"/>
        <v>1182650</v>
      </c>
      <c r="I48" s="1877">
        <f>I49+I50</f>
        <v>12689253</v>
      </c>
      <c r="J48" s="1878">
        <f>I48/D48*100</f>
        <v>74.668126537031469</v>
      </c>
      <c r="K48" s="1875">
        <f>K49+K50</f>
        <v>0</v>
      </c>
      <c r="L48" s="1878">
        <f>K48/G48*100</f>
        <v>0</v>
      </c>
      <c r="M48" s="1875">
        <f t="shared" ref="M48:M57" si="46">+K48-G48</f>
        <v>-3122300</v>
      </c>
      <c r="N48" s="1879"/>
    </row>
    <row r="49" spans="1:103" s="24" customFormat="1" ht="18.75" customHeight="1" thickTop="1" x14ac:dyDescent="0.2">
      <c r="A49" s="3454"/>
      <c r="B49" s="613" t="s">
        <v>163</v>
      </c>
      <c r="C49" s="1880"/>
      <c r="D49" s="1881">
        <v>0</v>
      </c>
      <c r="E49" s="1882">
        <v>0</v>
      </c>
      <c r="F49" s="1882">
        <v>0</v>
      </c>
      <c r="G49" s="1882">
        <v>0</v>
      </c>
      <c r="H49" s="1883">
        <v>0</v>
      </c>
      <c r="I49" s="1884">
        <v>0</v>
      </c>
      <c r="J49" s="1885">
        <v>0</v>
      </c>
      <c r="K49" s="1882">
        <v>0</v>
      </c>
      <c r="L49" s="1885">
        <v>0</v>
      </c>
      <c r="M49" s="1886">
        <f t="shared" si="46"/>
        <v>0</v>
      </c>
      <c r="N49" s="1887"/>
    </row>
    <row r="50" spans="1:103" s="24" customFormat="1" ht="15.75" thickBot="1" x14ac:dyDescent="0.25">
      <c r="A50" s="3455"/>
      <c r="B50" s="1888" t="s">
        <v>164</v>
      </c>
      <c r="C50" s="1889"/>
      <c r="D50" s="1890">
        <f t="shared" ref="D50:I50" si="47">D65+D72+D82</f>
        <v>16994203</v>
      </c>
      <c r="E50" s="626">
        <f t="shared" si="47"/>
        <v>10901413</v>
      </c>
      <c r="F50" s="626">
        <f t="shared" si="47"/>
        <v>1787840</v>
      </c>
      <c r="G50" s="626">
        <f t="shared" si="47"/>
        <v>3122300</v>
      </c>
      <c r="H50" s="1236">
        <f t="shared" si="47"/>
        <v>1182650</v>
      </c>
      <c r="I50" s="1237">
        <f t="shared" si="47"/>
        <v>12689253</v>
      </c>
      <c r="J50" s="1099">
        <f t="shared" ref="J50:J63" si="48">I50/D50*100</f>
        <v>74.668126537031469</v>
      </c>
      <c r="K50" s="626">
        <f>K65+K72+K82</f>
        <v>0</v>
      </c>
      <c r="L50" s="1099">
        <f>K50/G50*100</f>
        <v>0</v>
      </c>
      <c r="M50" s="626">
        <f t="shared" si="46"/>
        <v>-3122300</v>
      </c>
      <c r="N50" s="1891"/>
    </row>
    <row r="51" spans="1:103" s="1898" customFormat="1" ht="13.5" customHeight="1" x14ac:dyDescent="0.2">
      <c r="A51" s="3476"/>
      <c r="B51" s="631" t="s">
        <v>2</v>
      </c>
      <c r="C51" s="1892"/>
      <c r="D51" s="1893">
        <f>+D52+D56</f>
        <v>31608922</v>
      </c>
      <c r="E51" s="1894">
        <f>+E52+E56</f>
        <v>10921413</v>
      </c>
      <c r="F51" s="1894">
        <f>F52+F56</f>
        <v>10117695</v>
      </c>
      <c r="G51" s="1894">
        <f>+G52+G56</f>
        <v>9387164</v>
      </c>
      <c r="H51" s="1895">
        <f>+H52+H56</f>
        <v>1182650</v>
      </c>
      <c r="I51" s="1893">
        <f>+I52+I56</f>
        <v>18470192</v>
      </c>
      <c r="J51" s="1896">
        <f t="shared" si="48"/>
        <v>58.433476472244138</v>
      </c>
      <c r="K51" s="1894">
        <f>K52+K56</f>
        <v>0</v>
      </c>
      <c r="L51" s="1896">
        <f>K51/G51*100</f>
        <v>0</v>
      </c>
      <c r="M51" s="1894">
        <f t="shared" si="46"/>
        <v>-9387164</v>
      </c>
      <c r="N51" s="3468" t="s">
        <v>78</v>
      </c>
      <c r="O51" s="1897"/>
      <c r="P51" s="1897"/>
      <c r="Q51" s="1897"/>
      <c r="R51" s="1897"/>
      <c r="S51" s="1897"/>
      <c r="T51" s="1897"/>
      <c r="U51" s="1897"/>
      <c r="V51" s="1897"/>
      <c r="W51" s="1897"/>
      <c r="X51" s="1897"/>
      <c r="Y51" s="1897"/>
      <c r="Z51" s="1897"/>
      <c r="AA51" s="1897"/>
      <c r="AB51" s="1897"/>
      <c r="AC51" s="1897"/>
      <c r="AD51" s="1897"/>
      <c r="AE51" s="1897"/>
      <c r="AF51" s="1897"/>
      <c r="AG51" s="1897"/>
      <c r="AH51" s="1897"/>
      <c r="AI51" s="1897"/>
      <c r="AJ51" s="1897"/>
      <c r="AK51" s="1897"/>
      <c r="AL51" s="1897"/>
      <c r="AM51" s="1897"/>
      <c r="AN51" s="1897"/>
      <c r="AO51" s="1897"/>
      <c r="AP51" s="1897"/>
      <c r="AQ51" s="1897"/>
      <c r="AR51" s="1897"/>
      <c r="AS51" s="1897"/>
      <c r="AT51" s="1897"/>
      <c r="AU51" s="1897"/>
      <c r="AV51" s="1897"/>
      <c r="AW51" s="1897"/>
      <c r="AX51" s="1897"/>
      <c r="AY51" s="1897"/>
      <c r="AZ51" s="1897"/>
      <c r="BA51" s="1897"/>
      <c r="BB51" s="1897"/>
      <c r="BC51" s="1897"/>
      <c r="BD51" s="1897"/>
      <c r="BE51" s="1897"/>
      <c r="BF51" s="1897"/>
      <c r="BG51" s="1897"/>
      <c r="BH51" s="1897"/>
      <c r="BI51" s="1897"/>
      <c r="BJ51" s="1897"/>
      <c r="BK51" s="1897"/>
      <c r="BL51" s="1897"/>
      <c r="BM51" s="1897"/>
      <c r="BN51" s="1897"/>
      <c r="BO51" s="1897"/>
      <c r="BP51" s="1897"/>
      <c r="BQ51" s="1897"/>
      <c r="BR51" s="1897"/>
      <c r="BS51" s="1897"/>
      <c r="BT51" s="1897"/>
      <c r="BU51" s="1897"/>
      <c r="BV51" s="1897"/>
      <c r="BW51" s="1897"/>
      <c r="BX51" s="1897"/>
      <c r="BY51" s="1897"/>
      <c r="BZ51" s="1897"/>
      <c r="CA51" s="1897"/>
      <c r="CB51" s="1897"/>
      <c r="CC51" s="1897"/>
      <c r="CD51" s="1897"/>
      <c r="CE51" s="1897"/>
      <c r="CF51" s="1897"/>
      <c r="CG51" s="1897"/>
      <c r="CH51" s="1897"/>
      <c r="CI51" s="1897"/>
      <c r="CJ51" s="1897"/>
      <c r="CK51" s="1897"/>
      <c r="CL51" s="1897"/>
      <c r="CM51" s="1897"/>
      <c r="CN51" s="1897"/>
      <c r="CO51" s="1897"/>
      <c r="CP51" s="1897"/>
      <c r="CQ51" s="1897"/>
      <c r="CR51" s="1897"/>
      <c r="CS51" s="1897"/>
      <c r="CT51" s="1897"/>
      <c r="CU51" s="1897"/>
      <c r="CV51" s="1897"/>
      <c r="CW51" s="1897"/>
      <c r="CX51" s="1897"/>
      <c r="CY51" s="1897"/>
    </row>
    <row r="52" spans="1:103" s="1898" customFormat="1" ht="13.5" customHeight="1" x14ac:dyDescent="0.2">
      <c r="A52" s="3477"/>
      <c r="B52" s="1899" t="s">
        <v>17</v>
      </c>
      <c r="C52" s="3473"/>
      <c r="D52" s="1502">
        <f>D54+D53+D55</f>
        <v>20647883</v>
      </c>
      <c r="E52" s="1504">
        <f>E54+E53+E55</f>
        <v>10906413</v>
      </c>
      <c r="F52" s="1504">
        <f t="shared" ref="F52:H52" si="49">F54+F53+F55</f>
        <v>3870304</v>
      </c>
      <c r="G52" s="1504">
        <f t="shared" si="49"/>
        <v>4688516</v>
      </c>
      <c r="H52" s="1505">
        <f t="shared" si="49"/>
        <v>1182650</v>
      </c>
      <c r="I52" s="1502">
        <f t="shared" ref="I52" si="50">I54+I53+I55</f>
        <v>14134488</v>
      </c>
      <c r="J52" s="1900">
        <f t="shared" si="48"/>
        <v>68.454901647786357</v>
      </c>
      <c r="K52" s="1504">
        <f t="shared" ref="K52" si="51">K54+K53+K55</f>
        <v>0</v>
      </c>
      <c r="L52" s="1901">
        <f t="shared" ref="L52:L54" si="52">K52/G52*100</f>
        <v>0</v>
      </c>
      <c r="M52" s="1504">
        <f t="shared" si="46"/>
        <v>-4688516</v>
      </c>
      <c r="N52" s="3469"/>
      <c r="O52" s="1897"/>
      <c r="P52" s="1897"/>
      <c r="Q52" s="1897"/>
      <c r="R52" s="1897"/>
      <c r="S52" s="1897"/>
      <c r="T52" s="1897"/>
      <c r="U52" s="1897"/>
      <c r="V52" s="1897"/>
      <c r="W52" s="1897"/>
      <c r="X52" s="1897"/>
      <c r="Y52" s="1897"/>
      <c r="Z52" s="1897"/>
      <c r="AA52" s="1897"/>
      <c r="AB52" s="1897"/>
      <c r="AC52" s="1897"/>
      <c r="AD52" s="1897"/>
      <c r="AE52" s="1897"/>
      <c r="AF52" s="1897"/>
      <c r="AG52" s="1897"/>
      <c r="AH52" s="1897"/>
      <c r="AI52" s="1897"/>
      <c r="AJ52" s="1897"/>
      <c r="AK52" s="1897"/>
      <c r="AL52" s="1897"/>
      <c r="AM52" s="1897"/>
      <c r="AN52" s="1897"/>
      <c r="AO52" s="1897"/>
      <c r="AP52" s="1897"/>
      <c r="AQ52" s="1897"/>
      <c r="AR52" s="1897"/>
      <c r="AS52" s="1897"/>
      <c r="AT52" s="1897"/>
      <c r="AU52" s="1897"/>
      <c r="AV52" s="1897"/>
      <c r="AW52" s="1897"/>
      <c r="AX52" s="1897"/>
      <c r="AY52" s="1897"/>
      <c r="AZ52" s="1897"/>
      <c r="BA52" s="1897"/>
      <c r="BB52" s="1897"/>
      <c r="BC52" s="1897"/>
      <c r="BD52" s="1897"/>
      <c r="BE52" s="1897"/>
      <c r="BF52" s="1897"/>
      <c r="BG52" s="1897"/>
      <c r="BH52" s="1897"/>
      <c r="BI52" s="1897"/>
      <c r="BJ52" s="1897"/>
      <c r="BK52" s="1897"/>
      <c r="BL52" s="1897"/>
      <c r="BM52" s="1897"/>
      <c r="BN52" s="1897"/>
      <c r="BO52" s="1897"/>
      <c r="BP52" s="1897"/>
      <c r="BQ52" s="1897"/>
      <c r="BR52" s="1897"/>
      <c r="BS52" s="1897"/>
      <c r="BT52" s="1897"/>
      <c r="BU52" s="1897"/>
      <c r="BV52" s="1897"/>
      <c r="BW52" s="1897"/>
      <c r="BX52" s="1897"/>
      <c r="BY52" s="1897"/>
      <c r="BZ52" s="1897"/>
      <c r="CA52" s="1897"/>
      <c r="CB52" s="1897"/>
      <c r="CC52" s="1897"/>
      <c r="CD52" s="1897"/>
      <c r="CE52" s="1897"/>
      <c r="CF52" s="1897"/>
      <c r="CG52" s="1897"/>
      <c r="CH52" s="1897"/>
      <c r="CI52" s="1897"/>
      <c r="CJ52" s="1897"/>
      <c r="CK52" s="1897"/>
      <c r="CL52" s="1897"/>
      <c r="CM52" s="1897"/>
      <c r="CN52" s="1897"/>
      <c r="CO52" s="1897"/>
      <c r="CP52" s="1897"/>
      <c r="CQ52" s="1897"/>
      <c r="CR52" s="1897"/>
      <c r="CS52" s="1897"/>
      <c r="CT52" s="1897"/>
      <c r="CU52" s="1897"/>
      <c r="CV52" s="1897"/>
      <c r="CW52" s="1897"/>
      <c r="CX52" s="1897"/>
      <c r="CY52" s="1897"/>
    </row>
    <row r="53" spans="1:103" s="1898" customFormat="1" ht="13.5" customHeight="1" x14ac:dyDescent="0.2">
      <c r="A53" s="3477"/>
      <c r="B53" s="1902" t="s">
        <v>212</v>
      </c>
      <c r="C53" s="3473"/>
      <c r="D53" s="1500">
        <f t="shared" ref="D53:H53" si="53">D71</f>
        <v>3653680</v>
      </c>
      <c r="E53" s="1496">
        <f t="shared" si="53"/>
        <v>5000</v>
      </c>
      <c r="F53" s="1496">
        <f t="shared" si="53"/>
        <v>2082464</v>
      </c>
      <c r="G53" s="1496">
        <f t="shared" si="53"/>
        <v>1566216</v>
      </c>
      <c r="H53" s="1497">
        <f t="shared" si="53"/>
        <v>0</v>
      </c>
      <c r="I53" s="1500">
        <f t="shared" ref="I53" si="54">I71</f>
        <v>1445235</v>
      </c>
      <c r="J53" s="1903">
        <f t="shared" si="48"/>
        <v>39.555598738805806</v>
      </c>
      <c r="K53" s="1496">
        <f t="shared" ref="K53" si="55">K71</f>
        <v>0</v>
      </c>
      <c r="L53" s="1901">
        <f t="shared" si="52"/>
        <v>0</v>
      </c>
      <c r="M53" s="1496">
        <f t="shared" si="46"/>
        <v>-1566216</v>
      </c>
      <c r="N53" s="3469"/>
      <c r="O53" s="1897"/>
      <c r="P53" s="1897"/>
      <c r="Q53" s="1897"/>
      <c r="R53" s="1897"/>
      <c r="S53" s="1897"/>
      <c r="T53" s="1897"/>
      <c r="U53" s="1897"/>
      <c r="V53" s="1897"/>
      <c r="W53" s="1897"/>
      <c r="X53" s="1897"/>
      <c r="Y53" s="1897"/>
      <c r="Z53" s="1897"/>
      <c r="AA53" s="1897"/>
      <c r="AB53" s="1897"/>
      <c r="AC53" s="1897"/>
      <c r="AD53" s="1897"/>
      <c r="AE53" s="1897"/>
      <c r="AF53" s="1897"/>
      <c r="AG53" s="1897"/>
      <c r="AH53" s="1897"/>
      <c r="AI53" s="1897"/>
      <c r="AJ53" s="1897"/>
      <c r="AK53" s="1897"/>
      <c r="AL53" s="1897"/>
      <c r="AM53" s="1897"/>
      <c r="AN53" s="1897"/>
      <c r="AO53" s="1897"/>
      <c r="AP53" s="1897"/>
      <c r="AQ53" s="1897"/>
      <c r="AR53" s="1897"/>
      <c r="AS53" s="1897"/>
      <c r="AT53" s="1897"/>
      <c r="AU53" s="1897"/>
      <c r="AV53" s="1897"/>
      <c r="AW53" s="1897"/>
      <c r="AX53" s="1897"/>
      <c r="AY53" s="1897"/>
      <c r="AZ53" s="1897"/>
      <c r="BA53" s="1897"/>
      <c r="BB53" s="1897"/>
      <c r="BC53" s="1897"/>
      <c r="BD53" s="1897"/>
      <c r="BE53" s="1897"/>
      <c r="BF53" s="1897"/>
      <c r="BG53" s="1897"/>
      <c r="BH53" s="1897"/>
      <c r="BI53" s="1897"/>
      <c r="BJ53" s="1897"/>
      <c r="BK53" s="1897"/>
      <c r="BL53" s="1897"/>
      <c r="BM53" s="1897"/>
      <c r="BN53" s="1897"/>
      <c r="BO53" s="1897"/>
      <c r="BP53" s="1897"/>
      <c r="BQ53" s="1897"/>
      <c r="BR53" s="1897"/>
      <c r="BS53" s="1897"/>
      <c r="BT53" s="1897"/>
      <c r="BU53" s="1897"/>
      <c r="BV53" s="1897"/>
      <c r="BW53" s="1897"/>
      <c r="BX53" s="1897"/>
      <c r="BY53" s="1897"/>
      <c r="BZ53" s="1897"/>
      <c r="CA53" s="1897"/>
      <c r="CB53" s="1897"/>
      <c r="CC53" s="1897"/>
      <c r="CD53" s="1897"/>
      <c r="CE53" s="1897"/>
      <c r="CF53" s="1897"/>
      <c r="CG53" s="1897"/>
      <c r="CH53" s="1897"/>
      <c r="CI53" s="1897"/>
      <c r="CJ53" s="1897"/>
      <c r="CK53" s="1897"/>
      <c r="CL53" s="1897"/>
      <c r="CM53" s="1897"/>
      <c r="CN53" s="1897"/>
      <c r="CO53" s="1897"/>
      <c r="CP53" s="1897"/>
      <c r="CQ53" s="1897"/>
      <c r="CR53" s="1897"/>
      <c r="CS53" s="1897"/>
      <c r="CT53" s="1897"/>
      <c r="CU53" s="1897"/>
      <c r="CV53" s="1897"/>
      <c r="CW53" s="1897"/>
      <c r="CX53" s="1897"/>
      <c r="CY53" s="1897"/>
    </row>
    <row r="54" spans="1:103" s="1898" customFormat="1" ht="13.5" customHeight="1" x14ac:dyDescent="0.2">
      <c r="A54" s="3477"/>
      <c r="B54" s="1902" t="s">
        <v>215</v>
      </c>
      <c r="C54" s="3474"/>
      <c r="D54" s="1500">
        <f>D72+D84</f>
        <v>4910140</v>
      </c>
      <c r="E54" s="1496">
        <f t="shared" ref="E54:H54" si="56">E72+E84</f>
        <v>0</v>
      </c>
      <c r="F54" s="1496">
        <f t="shared" si="56"/>
        <v>1787840</v>
      </c>
      <c r="G54" s="1496">
        <f t="shared" si="56"/>
        <v>3122300</v>
      </c>
      <c r="H54" s="1497">
        <f t="shared" si="56"/>
        <v>0</v>
      </c>
      <c r="I54" s="1500">
        <f>I72+I84</f>
        <v>1787840</v>
      </c>
      <c r="J54" s="1903">
        <f t="shared" si="48"/>
        <v>36.411181758564929</v>
      </c>
      <c r="K54" s="1496">
        <f>K72+K84</f>
        <v>0</v>
      </c>
      <c r="L54" s="1901">
        <f t="shared" si="52"/>
        <v>0</v>
      </c>
      <c r="M54" s="1496">
        <f t="shared" si="46"/>
        <v>-3122300</v>
      </c>
      <c r="N54" s="3469"/>
      <c r="O54" s="1897"/>
      <c r="P54" s="1897"/>
      <c r="Q54" s="1897"/>
      <c r="R54" s="1897"/>
      <c r="S54" s="1897"/>
      <c r="T54" s="1897"/>
      <c r="U54" s="1897"/>
      <c r="V54" s="1897"/>
      <c r="W54" s="1897"/>
      <c r="X54" s="1897"/>
      <c r="Y54" s="1897"/>
      <c r="Z54" s="1897"/>
      <c r="AA54" s="1897"/>
      <c r="AB54" s="1897"/>
      <c r="AC54" s="1897"/>
      <c r="AD54" s="1897"/>
      <c r="AE54" s="1897"/>
      <c r="AF54" s="1897"/>
      <c r="AG54" s="1897"/>
      <c r="AH54" s="1897"/>
      <c r="AI54" s="1897"/>
      <c r="AJ54" s="1897"/>
      <c r="AK54" s="1897"/>
      <c r="AL54" s="1897"/>
      <c r="AM54" s="1897"/>
      <c r="AN54" s="1897"/>
      <c r="AO54" s="1897"/>
      <c r="AP54" s="1897"/>
      <c r="AQ54" s="1897"/>
      <c r="AR54" s="1897"/>
      <c r="AS54" s="1897"/>
      <c r="AT54" s="1897"/>
      <c r="AU54" s="1897"/>
      <c r="AV54" s="1897"/>
      <c r="AW54" s="1897"/>
      <c r="AX54" s="1897"/>
      <c r="AY54" s="1897"/>
      <c r="AZ54" s="1897"/>
      <c r="BA54" s="1897"/>
      <c r="BB54" s="1897"/>
      <c r="BC54" s="1897"/>
      <c r="BD54" s="1897"/>
      <c r="BE54" s="1897"/>
      <c r="BF54" s="1897"/>
      <c r="BG54" s="1897"/>
      <c r="BH54" s="1897"/>
      <c r="BI54" s="1897"/>
      <c r="BJ54" s="1897"/>
      <c r="BK54" s="1897"/>
      <c r="BL54" s="1897"/>
      <c r="BM54" s="1897"/>
      <c r="BN54" s="1897"/>
      <c r="BO54" s="1897"/>
      <c r="BP54" s="1897"/>
      <c r="BQ54" s="1897"/>
      <c r="BR54" s="1897"/>
      <c r="BS54" s="1897"/>
      <c r="BT54" s="1897"/>
      <c r="BU54" s="1897"/>
      <c r="BV54" s="1897"/>
      <c r="BW54" s="1897"/>
      <c r="BX54" s="1897"/>
      <c r="BY54" s="1897"/>
      <c r="BZ54" s="1897"/>
      <c r="CA54" s="1897"/>
      <c r="CB54" s="1897"/>
      <c r="CC54" s="1897"/>
      <c r="CD54" s="1897"/>
      <c r="CE54" s="1897"/>
      <c r="CF54" s="1897"/>
      <c r="CG54" s="1897"/>
      <c r="CH54" s="1897"/>
      <c r="CI54" s="1897"/>
      <c r="CJ54" s="1897"/>
      <c r="CK54" s="1897"/>
      <c r="CL54" s="1897"/>
      <c r="CM54" s="1897"/>
      <c r="CN54" s="1897"/>
      <c r="CO54" s="1897"/>
      <c r="CP54" s="1897"/>
      <c r="CQ54" s="1897"/>
      <c r="CR54" s="1897"/>
      <c r="CS54" s="1897"/>
      <c r="CT54" s="1897"/>
      <c r="CU54" s="1897"/>
      <c r="CV54" s="1897"/>
      <c r="CW54" s="1897"/>
      <c r="CX54" s="1897"/>
      <c r="CY54" s="1897"/>
    </row>
    <row r="55" spans="1:103" s="1898" customFormat="1" ht="13.5" customHeight="1" x14ac:dyDescent="0.2">
      <c r="A55" s="3477"/>
      <c r="B55" s="1902" t="s">
        <v>4</v>
      </c>
      <c r="C55" s="3474"/>
      <c r="D55" s="1500">
        <f>D67</f>
        <v>12084063</v>
      </c>
      <c r="E55" s="1496">
        <f>E67</f>
        <v>10901413</v>
      </c>
      <c r="F55" s="1496">
        <f t="shared" ref="F55:G55" si="57">F67</f>
        <v>0</v>
      </c>
      <c r="G55" s="1496">
        <f t="shared" si="57"/>
        <v>0</v>
      </c>
      <c r="H55" s="1497">
        <f>H67</f>
        <v>1182650</v>
      </c>
      <c r="I55" s="1500">
        <f>I67</f>
        <v>10901413</v>
      </c>
      <c r="J55" s="1903">
        <f t="shared" si="48"/>
        <v>90.213142715326782</v>
      </c>
      <c r="K55" s="1496">
        <f>K67</f>
        <v>0</v>
      </c>
      <c r="L55" s="1901">
        <v>0</v>
      </c>
      <c r="M55" s="1496">
        <f t="shared" si="46"/>
        <v>0</v>
      </c>
      <c r="N55" s="3469"/>
      <c r="O55" s="1897"/>
      <c r="P55" s="1897"/>
      <c r="Q55" s="1897"/>
      <c r="R55" s="1897"/>
      <c r="S55" s="1897"/>
      <c r="T55" s="1897"/>
      <c r="U55" s="1897"/>
      <c r="V55" s="1897"/>
      <c r="W55" s="1897"/>
      <c r="X55" s="1897"/>
      <c r="Y55" s="1897"/>
      <c r="Z55" s="1897"/>
      <c r="AA55" s="1897"/>
      <c r="AB55" s="1897"/>
      <c r="AC55" s="1897"/>
      <c r="AD55" s="1897"/>
      <c r="AE55" s="1897"/>
      <c r="AF55" s="1897"/>
      <c r="AG55" s="1897"/>
      <c r="AH55" s="1897"/>
      <c r="AI55" s="1897"/>
      <c r="AJ55" s="1897"/>
      <c r="AK55" s="1897"/>
      <c r="AL55" s="1897"/>
      <c r="AM55" s="1897"/>
      <c r="AN55" s="1897"/>
      <c r="AO55" s="1897"/>
      <c r="AP55" s="1897"/>
      <c r="AQ55" s="1897"/>
      <c r="AR55" s="1897"/>
      <c r="AS55" s="1897"/>
      <c r="AT55" s="1897"/>
      <c r="AU55" s="1897"/>
      <c r="AV55" s="1897"/>
      <c r="AW55" s="1897"/>
      <c r="AX55" s="1897"/>
      <c r="AY55" s="1897"/>
      <c r="AZ55" s="1897"/>
      <c r="BA55" s="1897"/>
      <c r="BB55" s="1897"/>
      <c r="BC55" s="1897"/>
      <c r="BD55" s="1897"/>
      <c r="BE55" s="1897"/>
      <c r="BF55" s="1897"/>
      <c r="BG55" s="1897"/>
      <c r="BH55" s="1897"/>
      <c r="BI55" s="1897"/>
      <c r="BJ55" s="1897"/>
      <c r="BK55" s="1897"/>
      <c r="BL55" s="1897"/>
      <c r="BM55" s="1897"/>
      <c r="BN55" s="1897"/>
      <c r="BO55" s="1897"/>
      <c r="BP55" s="1897"/>
      <c r="BQ55" s="1897"/>
      <c r="BR55" s="1897"/>
      <c r="BS55" s="1897"/>
      <c r="BT55" s="1897"/>
      <c r="BU55" s="1897"/>
      <c r="BV55" s="1897"/>
      <c r="BW55" s="1897"/>
      <c r="BX55" s="1897"/>
      <c r="BY55" s="1897"/>
      <c r="BZ55" s="1897"/>
      <c r="CA55" s="1897"/>
      <c r="CB55" s="1897"/>
      <c r="CC55" s="1897"/>
      <c r="CD55" s="1897"/>
      <c r="CE55" s="1897"/>
      <c r="CF55" s="1897"/>
      <c r="CG55" s="1897"/>
      <c r="CH55" s="1897"/>
      <c r="CI55" s="1897"/>
      <c r="CJ55" s="1897"/>
      <c r="CK55" s="1897"/>
      <c r="CL55" s="1897"/>
      <c r="CM55" s="1897"/>
      <c r="CN55" s="1897"/>
      <c r="CO55" s="1897"/>
      <c r="CP55" s="1897"/>
      <c r="CQ55" s="1897"/>
      <c r="CR55" s="1897"/>
      <c r="CS55" s="1897"/>
      <c r="CT55" s="1897"/>
      <c r="CU55" s="1897"/>
      <c r="CV55" s="1897"/>
      <c r="CW55" s="1897"/>
      <c r="CX55" s="1897"/>
      <c r="CY55" s="1897"/>
    </row>
    <row r="56" spans="1:103" s="1898" customFormat="1" ht="13.5" customHeight="1" x14ac:dyDescent="0.2">
      <c r="A56" s="3477"/>
      <c r="B56" s="1904" t="s">
        <v>12</v>
      </c>
      <c r="C56" s="3474"/>
      <c r="D56" s="1502">
        <f t="shared" ref="D56:I56" si="58">+D57</f>
        <v>10961039</v>
      </c>
      <c r="E56" s="1504">
        <f t="shared" si="58"/>
        <v>15000</v>
      </c>
      <c r="F56" s="1504">
        <f t="shared" si="58"/>
        <v>6247391</v>
      </c>
      <c r="G56" s="1504">
        <f t="shared" si="58"/>
        <v>4698648</v>
      </c>
      <c r="H56" s="1505">
        <f t="shared" si="58"/>
        <v>0</v>
      </c>
      <c r="I56" s="1502">
        <f t="shared" si="58"/>
        <v>4335704</v>
      </c>
      <c r="J56" s="1900">
        <f t="shared" si="48"/>
        <v>39.555593224328462</v>
      </c>
      <c r="K56" s="1504">
        <f t="shared" ref="K56" si="59">+K57</f>
        <v>0</v>
      </c>
      <c r="L56" s="1900">
        <f>K56/G56*100</f>
        <v>0</v>
      </c>
      <c r="M56" s="1504">
        <f t="shared" si="46"/>
        <v>-4698648</v>
      </c>
      <c r="N56" s="3469"/>
      <c r="O56" s="1897"/>
      <c r="P56" s="1897"/>
      <c r="Q56" s="1897"/>
      <c r="R56" s="1897"/>
      <c r="S56" s="1897"/>
      <c r="T56" s="1897"/>
      <c r="U56" s="1897"/>
      <c r="V56" s="1897"/>
      <c r="W56" s="1897"/>
      <c r="X56" s="1897"/>
      <c r="Y56" s="1897"/>
      <c r="Z56" s="1897"/>
      <c r="AA56" s="1897"/>
      <c r="AB56" s="1897"/>
      <c r="AC56" s="1897"/>
      <c r="AD56" s="1897"/>
      <c r="AE56" s="1897"/>
      <c r="AF56" s="1897"/>
      <c r="AG56" s="1897"/>
      <c r="AH56" s="1897"/>
      <c r="AI56" s="1897"/>
      <c r="AJ56" s="1897"/>
      <c r="AK56" s="1897"/>
      <c r="AL56" s="1897"/>
      <c r="AM56" s="1897"/>
      <c r="AN56" s="1897"/>
      <c r="AO56" s="1897"/>
      <c r="AP56" s="1897"/>
      <c r="AQ56" s="1897"/>
      <c r="AR56" s="1897"/>
      <c r="AS56" s="1897"/>
      <c r="AT56" s="1897"/>
      <c r="AU56" s="1897"/>
      <c r="AV56" s="1897"/>
      <c r="AW56" s="1897"/>
      <c r="AX56" s="1897"/>
      <c r="AY56" s="1897"/>
      <c r="AZ56" s="1897"/>
      <c r="BA56" s="1897"/>
      <c r="BB56" s="1897"/>
      <c r="BC56" s="1897"/>
      <c r="BD56" s="1897"/>
      <c r="BE56" s="1897"/>
      <c r="BF56" s="1897"/>
      <c r="BG56" s="1897"/>
      <c r="BH56" s="1897"/>
      <c r="BI56" s="1897"/>
      <c r="BJ56" s="1897"/>
      <c r="BK56" s="1897"/>
      <c r="BL56" s="1897"/>
      <c r="BM56" s="1897"/>
      <c r="BN56" s="1897"/>
      <c r="BO56" s="1897"/>
      <c r="BP56" s="1897"/>
      <c r="BQ56" s="1897"/>
      <c r="BR56" s="1897"/>
      <c r="BS56" s="1897"/>
      <c r="BT56" s="1897"/>
      <c r="BU56" s="1897"/>
      <c r="BV56" s="1897"/>
      <c r="BW56" s="1897"/>
      <c r="BX56" s="1897"/>
      <c r="BY56" s="1897"/>
      <c r="BZ56" s="1897"/>
      <c r="CA56" s="1897"/>
      <c r="CB56" s="1897"/>
      <c r="CC56" s="1897"/>
      <c r="CD56" s="1897"/>
      <c r="CE56" s="1897"/>
      <c r="CF56" s="1897"/>
      <c r="CG56" s="1897"/>
      <c r="CH56" s="1897"/>
      <c r="CI56" s="1897"/>
      <c r="CJ56" s="1897"/>
      <c r="CK56" s="1897"/>
      <c r="CL56" s="1897"/>
      <c r="CM56" s="1897"/>
      <c r="CN56" s="1897"/>
      <c r="CO56" s="1897"/>
      <c r="CP56" s="1897"/>
      <c r="CQ56" s="1897"/>
      <c r="CR56" s="1897"/>
      <c r="CS56" s="1897"/>
      <c r="CT56" s="1897"/>
      <c r="CU56" s="1897"/>
      <c r="CV56" s="1897"/>
      <c r="CW56" s="1897"/>
      <c r="CX56" s="1897"/>
      <c r="CY56" s="1897"/>
    </row>
    <row r="57" spans="1:103" s="1898" customFormat="1" ht="13.5" customHeight="1" x14ac:dyDescent="0.2">
      <c r="A57" s="3477"/>
      <c r="B57" s="1905" t="s">
        <v>15</v>
      </c>
      <c r="C57" s="3474"/>
      <c r="D57" s="1500">
        <f>D74</f>
        <v>10961039</v>
      </c>
      <c r="E57" s="1906">
        <f t="shared" ref="E57:H57" si="60">E74</f>
        <v>15000</v>
      </c>
      <c r="F57" s="1906">
        <f t="shared" si="60"/>
        <v>6247391</v>
      </c>
      <c r="G57" s="1906">
        <f t="shared" si="60"/>
        <v>4698648</v>
      </c>
      <c r="H57" s="1497">
        <f t="shared" si="60"/>
        <v>0</v>
      </c>
      <c r="I57" s="1500">
        <f t="shared" ref="I57" si="61">I74</f>
        <v>4335704</v>
      </c>
      <c r="J57" s="1903">
        <f t="shared" si="48"/>
        <v>39.555593224328462</v>
      </c>
      <c r="K57" s="1906">
        <f t="shared" ref="K57" si="62">K74</f>
        <v>0</v>
      </c>
      <c r="L57" s="1903">
        <f>K57/G57*100</f>
        <v>0</v>
      </c>
      <c r="M57" s="1496">
        <f t="shared" si="46"/>
        <v>-4698648</v>
      </c>
      <c r="N57" s="3469"/>
      <c r="O57" s="1897"/>
      <c r="P57" s="1897"/>
      <c r="Q57" s="1897"/>
      <c r="R57" s="1897"/>
      <c r="S57" s="1897"/>
      <c r="T57" s="1897"/>
      <c r="U57" s="1897"/>
      <c r="V57" s="1897"/>
      <c r="W57" s="1897"/>
      <c r="X57" s="1897"/>
      <c r="Y57" s="1897"/>
      <c r="Z57" s="1897"/>
      <c r="AA57" s="1897"/>
      <c r="AB57" s="1897"/>
      <c r="AC57" s="1897"/>
      <c r="AD57" s="1897"/>
      <c r="AE57" s="1897"/>
      <c r="AF57" s="1897"/>
      <c r="AG57" s="1897"/>
      <c r="AH57" s="1897"/>
      <c r="AI57" s="1897"/>
      <c r="AJ57" s="1897"/>
      <c r="AK57" s="1897"/>
      <c r="AL57" s="1897"/>
      <c r="AM57" s="1897"/>
      <c r="AN57" s="1897"/>
      <c r="AO57" s="1897"/>
      <c r="AP57" s="1897"/>
      <c r="AQ57" s="1897"/>
      <c r="AR57" s="1897"/>
      <c r="AS57" s="1897"/>
      <c r="AT57" s="1897"/>
      <c r="AU57" s="1897"/>
      <c r="AV57" s="1897"/>
      <c r="AW57" s="1897"/>
      <c r="AX57" s="1897"/>
      <c r="AY57" s="1897"/>
      <c r="AZ57" s="1897"/>
      <c r="BA57" s="1897"/>
      <c r="BB57" s="1897"/>
      <c r="BC57" s="1897"/>
      <c r="BD57" s="1897"/>
      <c r="BE57" s="1897"/>
      <c r="BF57" s="1897"/>
      <c r="BG57" s="1897"/>
      <c r="BH57" s="1897"/>
      <c r="BI57" s="1897"/>
      <c r="BJ57" s="1897"/>
      <c r="BK57" s="1897"/>
      <c r="BL57" s="1897"/>
      <c r="BM57" s="1897"/>
      <c r="BN57" s="1897"/>
      <c r="BO57" s="1897"/>
      <c r="BP57" s="1897"/>
      <c r="BQ57" s="1897"/>
      <c r="BR57" s="1897"/>
      <c r="BS57" s="1897"/>
      <c r="BT57" s="1897"/>
      <c r="BU57" s="1897"/>
      <c r="BV57" s="1897"/>
      <c r="BW57" s="1897"/>
      <c r="BX57" s="1897"/>
      <c r="BY57" s="1897"/>
      <c r="BZ57" s="1897"/>
      <c r="CA57" s="1897"/>
      <c r="CB57" s="1897"/>
      <c r="CC57" s="1897"/>
      <c r="CD57" s="1897"/>
      <c r="CE57" s="1897"/>
      <c r="CF57" s="1897"/>
      <c r="CG57" s="1897"/>
      <c r="CH57" s="1897"/>
      <c r="CI57" s="1897"/>
      <c r="CJ57" s="1897"/>
      <c r="CK57" s="1897"/>
      <c r="CL57" s="1897"/>
      <c r="CM57" s="1897"/>
      <c r="CN57" s="1897"/>
      <c r="CO57" s="1897"/>
      <c r="CP57" s="1897"/>
      <c r="CQ57" s="1897"/>
      <c r="CR57" s="1897"/>
      <c r="CS57" s="1897"/>
      <c r="CT57" s="1897"/>
      <c r="CU57" s="1897"/>
      <c r="CV57" s="1897"/>
      <c r="CW57" s="1897"/>
      <c r="CX57" s="1897"/>
      <c r="CY57" s="1897"/>
    </row>
    <row r="58" spans="1:103" s="1898" customFormat="1" ht="13.5" customHeight="1" x14ac:dyDescent="0.2">
      <c r="A58" s="3477"/>
      <c r="B58" s="220" t="s">
        <v>16</v>
      </c>
      <c r="C58" s="1907"/>
      <c r="D58" s="1908">
        <f>D62+D59</f>
        <v>18154770</v>
      </c>
      <c r="E58" s="1797">
        <f>E62</f>
        <v>15000</v>
      </c>
      <c r="F58" s="1797">
        <f>F62+F59</f>
        <v>10390102</v>
      </c>
      <c r="G58" s="1797">
        <f>G62+G59</f>
        <v>6178452</v>
      </c>
      <c r="H58" s="1679">
        <f>H62+H59</f>
        <v>0</v>
      </c>
      <c r="I58" s="1908">
        <f>I62+I59</f>
        <v>5625160</v>
      </c>
      <c r="J58" s="1909">
        <f t="shared" si="48"/>
        <v>30.984474052824684</v>
      </c>
      <c r="K58" s="1797">
        <f>K62</f>
        <v>0</v>
      </c>
      <c r="L58" s="1909">
        <f>K58/G58*100</f>
        <v>0</v>
      </c>
      <c r="M58" s="1797"/>
      <c r="N58" s="3469"/>
      <c r="O58" s="1897"/>
      <c r="P58" s="1897"/>
      <c r="Q58" s="1897"/>
      <c r="R58" s="1897"/>
      <c r="S58" s="1897"/>
      <c r="T58" s="1897"/>
      <c r="U58" s="1897"/>
      <c r="V58" s="1897"/>
      <c r="W58" s="1897"/>
      <c r="X58" s="1897"/>
      <c r="Y58" s="1897"/>
      <c r="Z58" s="1897"/>
      <c r="AA58" s="1897"/>
      <c r="AB58" s="1897"/>
      <c r="AC58" s="1897"/>
      <c r="AD58" s="1897"/>
      <c r="AE58" s="1897"/>
      <c r="AF58" s="1897"/>
      <c r="AG58" s="1897"/>
      <c r="AH58" s="1897"/>
      <c r="AI58" s="1897"/>
      <c r="AJ58" s="1897"/>
      <c r="AK58" s="1897"/>
      <c r="AL58" s="1897"/>
      <c r="AM58" s="1897"/>
      <c r="AN58" s="1897"/>
      <c r="AO58" s="1897"/>
      <c r="AP58" s="1897"/>
      <c r="AQ58" s="1897"/>
      <c r="AR58" s="1897"/>
      <c r="AS58" s="1897"/>
      <c r="AT58" s="1897"/>
      <c r="AU58" s="1897"/>
      <c r="AV58" s="1897"/>
      <c r="AW58" s="1897"/>
      <c r="AX58" s="1897"/>
      <c r="AY58" s="1897"/>
      <c r="AZ58" s="1897"/>
      <c r="BA58" s="1897"/>
      <c r="BB58" s="1897"/>
      <c r="BC58" s="1897"/>
      <c r="BD58" s="1897"/>
      <c r="BE58" s="1897"/>
      <c r="BF58" s="1897"/>
      <c r="BG58" s="1897"/>
      <c r="BH58" s="1897"/>
      <c r="BI58" s="1897"/>
      <c r="BJ58" s="1897"/>
      <c r="BK58" s="1897"/>
      <c r="BL58" s="1897"/>
      <c r="BM58" s="1897"/>
      <c r="BN58" s="1897"/>
      <c r="BO58" s="1897"/>
      <c r="BP58" s="1897"/>
      <c r="BQ58" s="1897"/>
      <c r="BR58" s="1897"/>
      <c r="BS58" s="1897"/>
      <c r="BT58" s="1897"/>
      <c r="BU58" s="1897"/>
      <c r="BV58" s="1897"/>
      <c r="BW58" s="1897"/>
      <c r="BX58" s="1897"/>
      <c r="BY58" s="1897"/>
      <c r="BZ58" s="1897"/>
      <c r="CA58" s="1897"/>
      <c r="CB58" s="1897"/>
      <c r="CC58" s="1897"/>
      <c r="CD58" s="1897"/>
      <c r="CE58" s="1897"/>
      <c r="CF58" s="1897"/>
      <c r="CG58" s="1897"/>
      <c r="CH58" s="1897"/>
      <c r="CI58" s="1897"/>
      <c r="CJ58" s="1897"/>
      <c r="CK58" s="1897"/>
      <c r="CL58" s="1897"/>
      <c r="CM58" s="1897"/>
      <c r="CN58" s="1897"/>
      <c r="CO58" s="1897"/>
      <c r="CP58" s="1897"/>
      <c r="CQ58" s="1897"/>
      <c r="CR58" s="1897"/>
      <c r="CS58" s="1897"/>
      <c r="CT58" s="1897"/>
      <c r="CU58" s="1897"/>
      <c r="CV58" s="1897"/>
      <c r="CW58" s="1897"/>
      <c r="CX58" s="1897"/>
      <c r="CY58" s="1897"/>
    </row>
    <row r="59" spans="1:103" s="1898" customFormat="1" ht="13.5" customHeight="1" x14ac:dyDescent="0.2">
      <c r="A59" s="3477"/>
      <c r="B59" s="1899" t="s">
        <v>17</v>
      </c>
      <c r="C59" s="1910"/>
      <c r="D59" s="1911">
        <f t="shared" ref="D59:H59" si="63">+D60+D61</f>
        <v>7193731</v>
      </c>
      <c r="E59" s="1912">
        <f t="shared" si="63"/>
        <v>0</v>
      </c>
      <c r="F59" s="1912">
        <f t="shared" si="63"/>
        <v>4142711</v>
      </c>
      <c r="G59" s="1912">
        <f t="shared" si="63"/>
        <v>1479804</v>
      </c>
      <c r="H59" s="1913">
        <f t="shared" si="63"/>
        <v>0</v>
      </c>
      <c r="I59" s="1911">
        <f t="shared" ref="I59" si="64">+I60+I61</f>
        <v>1445235</v>
      </c>
      <c r="J59" s="1901">
        <f t="shared" si="48"/>
        <v>20.090200759522421</v>
      </c>
      <c r="K59" s="1912">
        <f t="shared" ref="K59" si="65">+K60+K61</f>
        <v>0</v>
      </c>
      <c r="L59" s="1901">
        <f>K59/G59*100</f>
        <v>0</v>
      </c>
      <c r="M59" s="3466"/>
      <c r="N59" s="3469"/>
      <c r="O59" s="1897"/>
      <c r="P59" s="1897"/>
      <c r="Q59" s="1897"/>
      <c r="R59" s="1897"/>
      <c r="S59" s="1897"/>
      <c r="T59" s="1897"/>
      <c r="U59" s="1897"/>
      <c r="V59" s="1897"/>
      <c r="W59" s="1897"/>
      <c r="X59" s="1897"/>
      <c r="Y59" s="1897"/>
      <c r="Z59" s="1897"/>
      <c r="AA59" s="1897"/>
      <c r="AB59" s="1897"/>
      <c r="AC59" s="1897"/>
      <c r="AD59" s="1897"/>
      <c r="AE59" s="1897"/>
      <c r="AF59" s="1897"/>
      <c r="AG59" s="1897"/>
      <c r="AH59" s="1897"/>
      <c r="AI59" s="1897"/>
      <c r="AJ59" s="1897"/>
      <c r="AK59" s="1897"/>
      <c r="AL59" s="1897"/>
      <c r="AM59" s="1897"/>
      <c r="AN59" s="1897"/>
      <c r="AO59" s="1897"/>
      <c r="AP59" s="1897"/>
      <c r="AQ59" s="1897"/>
      <c r="AR59" s="1897"/>
      <c r="AS59" s="1897"/>
      <c r="AT59" s="1897"/>
      <c r="AU59" s="1897"/>
      <c r="AV59" s="1897"/>
      <c r="AW59" s="1897"/>
      <c r="AX59" s="1897"/>
      <c r="AY59" s="1897"/>
      <c r="AZ59" s="1897"/>
      <c r="BA59" s="1897"/>
      <c r="BB59" s="1897"/>
      <c r="BC59" s="1897"/>
      <c r="BD59" s="1897"/>
      <c r="BE59" s="1897"/>
      <c r="BF59" s="1897"/>
      <c r="BG59" s="1897"/>
      <c r="BH59" s="1897"/>
      <c r="BI59" s="1897"/>
      <c r="BJ59" s="1897"/>
      <c r="BK59" s="1897"/>
      <c r="BL59" s="1897"/>
      <c r="BM59" s="1897"/>
      <c r="BN59" s="1897"/>
      <c r="BO59" s="1897"/>
      <c r="BP59" s="1897"/>
      <c r="BQ59" s="1897"/>
      <c r="BR59" s="1897"/>
      <c r="BS59" s="1897"/>
      <c r="BT59" s="1897"/>
      <c r="BU59" s="1897"/>
      <c r="BV59" s="1897"/>
      <c r="BW59" s="1897"/>
      <c r="BX59" s="1897"/>
      <c r="BY59" s="1897"/>
      <c r="BZ59" s="1897"/>
      <c r="CA59" s="1897"/>
      <c r="CB59" s="1897"/>
      <c r="CC59" s="1897"/>
      <c r="CD59" s="1897"/>
      <c r="CE59" s="1897"/>
      <c r="CF59" s="1897"/>
      <c r="CG59" s="1897"/>
      <c r="CH59" s="1897"/>
      <c r="CI59" s="1897"/>
      <c r="CJ59" s="1897"/>
      <c r="CK59" s="1897"/>
      <c r="CL59" s="1897"/>
      <c r="CM59" s="1897"/>
      <c r="CN59" s="1897"/>
      <c r="CO59" s="1897"/>
      <c r="CP59" s="1897"/>
      <c r="CQ59" s="1897"/>
      <c r="CR59" s="1897"/>
      <c r="CS59" s="1897"/>
      <c r="CT59" s="1897"/>
      <c r="CU59" s="1897"/>
      <c r="CV59" s="1897"/>
      <c r="CW59" s="1897"/>
      <c r="CX59" s="1897"/>
      <c r="CY59" s="1897"/>
    </row>
    <row r="60" spans="1:103" s="1898" customFormat="1" ht="13.5" customHeight="1" x14ac:dyDescent="0.2">
      <c r="A60" s="3477"/>
      <c r="B60" s="1902" t="s">
        <v>212</v>
      </c>
      <c r="C60" s="1910"/>
      <c r="D60" s="1500">
        <f>D77</f>
        <v>3653680</v>
      </c>
      <c r="E60" s="1496">
        <v>0</v>
      </c>
      <c r="F60" s="1496">
        <f>F77</f>
        <v>2082464</v>
      </c>
      <c r="G60" s="1497">
        <v>0</v>
      </c>
      <c r="H60" s="1497">
        <v>0</v>
      </c>
      <c r="I60" s="1500">
        <f>I77</f>
        <v>1445235</v>
      </c>
      <c r="J60" s="1903">
        <f t="shared" si="48"/>
        <v>39.555598738805806</v>
      </c>
      <c r="K60" s="1912">
        <v>0</v>
      </c>
      <c r="L60" s="1901">
        <v>0</v>
      </c>
      <c r="M60" s="3466"/>
      <c r="N60" s="3469"/>
      <c r="O60" s="1897"/>
      <c r="P60" s="1897"/>
      <c r="Q60" s="1897"/>
      <c r="R60" s="1897"/>
      <c r="S60" s="1897"/>
      <c r="T60" s="1897"/>
      <c r="U60" s="1897"/>
      <c r="V60" s="1897"/>
      <c r="W60" s="1897"/>
      <c r="X60" s="1897"/>
      <c r="Y60" s="1897"/>
      <c r="Z60" s="1897"/>
      <c r="AA60" s="1897"/>
      <c r="AB60" s="1897"/>
      <c r="AC60" s="1897"/>
      <c r="AD60" s="1897"/>
      <c r="AE60" s="1897"/>
      <c r="AF60" s="1897"/>
      <c r="AG60" s="1897"/>
      <c r="AH60" s="1897"/>
      <c r="AI60" s="1897"/>
      <c r="AJ60" s="1897"/>
      <c r="AK60" s="1897"/>
      <c r="AL60" s="1897"/>
      <c r="AM60" s="1897"/>
      <c r="AN60" s="1897"/>
      <c r="AO60" s="1897"/>
      <c r="AP60" s="1897"/>
      <c r="AQ60" s="1897"/>
      <c r="AR60" s="1897"/>
      <c r="AS60" s="1897"/>
      <c r="AT60" s="1897"/>
      <c r="AU60" s="1897"/>
      <c r="AV60" s="1897"/>
      <c r="AW60" s="1897"/>
      <c r="AX60" s="1897"/>
      <c r="AY60" s="1897"/>
      <c r="AZ60" s="1897"/>
      <c r="BA60" s="1897"/>
      <c r="BB60" s="1897"/>
      <c r="BC60" s="1897"/>
      <c r="BD60" s="1897"/>
      <c r="BE60" s="1897"/>
      <c r="BF60" s="1897"/>
      <c r="BG60" s="1897"/>
      <c r="BH60" s="1897"/>
      <c r="BI60" s="1897"/>
      <c r="BJ60" s="1897"/>
      <c r="BK60" s="1897"/>
      <c r="BL60" s="1897"/>
      <c r="BM60" s="1897"/>
      <c r="BN60" s="1897"/>
      <c r="BO60" s="1897"/>
      <c r="BP60" s="1897"/>
      <c r="BQ60" s="1897"/>
      <c r="BR60" s="1897"/>
      <c r="BS60" s="1897"/>
      <c r="BT60" s="1897"/>
      <c r="BU60" s="1897"/>
      <c r="BV60" s="1897"/>
      <c r="BW60" s="1897"/>
      <c r="BX60" s="1897"/>
      <c r="BY60" s="1897"/>
      <c r="BZ60" s="1897"/>
      <c r="CA60" s="1897"/>
      <c r="CB60" s="1897"/>
      <c r="CC60" s="1897"/>
      <c r="CD60" s="1897"/>
      <c r="CE60" s="1897"/>
      <c r="CF60" s="1897"/>
      <c r="CG60" s="1897"/>
      <c r="CH60" s="1897"/>
      <c r="CI60" s="1897"/>
      <c r="CJ60" s="1897"/>
      <c r="CK60" s="1897"/>
      <c r="CL60" s="1897"/>
      <c r="CM60" s="1897"/>
      <c r="CN60" s="1897"/>
      <c r="CO60" s="1897"/>
      <c r="CP60" s="1897"/>
      <c r="CQ60" s="1897"/>
      <c r="CR60" s="1897"/>
      <c r="CS60" s="1897"/>
      <c r="CT60" s="1897"/>
      <c r="CU60" s="1897"/>
      <c r="CV60" s="1897"/>
      <c r="CW60" s="1897"/>
      <c r="CX60" s="1897"/>
      <c r="CY60" s="1897"/>
    </row>
    <row r="61" spans="1:103" s="1898" customFormat="1" ht="13.5" customHeight="1" x14ac:dyDescent="0.2">
      <c r="A61" s="3477"/>
      <c r="B61" s="1902" t="s">
        <v>216</v>
      </c>
      <c r="C61" s="1910"/>
      <c r="D61" s="1500">
        <f>D78</f>
        <v>3540051</v>
      </c>
      <c r="E61" s="1906">
        <f t="shared" ref="E61:H61" si="66">E78</f>
        <v>0</v>
      </c>
      <c r="F61" s="1906">
        <f t="shared" si="66"/>
        <v>2060247</v>
      </c>
      <c r="G61" s="1906">
        <f t="shared" si="66"/>
        <v>1479804</v>
      </c>
      <c r="H61" s="1497">
        <f t="shared" si="66"/>
        <v>0</v>
      </c>
      <c r="I61" s="1500">
        <f t="shared" ref="I61" si="67">I78</f>
        <v>0</v>
      </c>
      <c r="J61" s="1901">
        <f t="shared" si="48"/>
        <v>0</v>
      </c>
      <c r="K61" s="1906">
        <f t="shared" ref="K61" si="68">K78</f>
        <v>0</v>
      </c>
      <c r="L61" s="1901">
        <f>K61/G61*100</f>
        <v>0</v>
      </c>
      <c r="M61" s="3466"/>
      <c r="N61" s="3469"/>
      <c r="O61" s="1897"/>
      <c r="P61" s="1897"/>
      <c r="Q61" s="1897"/>
      <c r="R61" s="1897"/>
      <c r="S61" s="1897"/>
      <c r="T61" s="1897"/>
      <c r="U61" s="1897"/>
      <c r="V61" s="1897"/>
      <c r="W61" s="1897"/>
      <c r="X61" s="1897"/>
      <c r="Y61" s="1897"/>
      <c r="Z61" s="1897"/>
      <c r="AA61" s="1897"/>
      <c r="AB61" s="1897"/>
      <c r="AC61" s="1897"/>
      <c r="AD61" s="1897"/>
      <c r="AE61" s="1897"/>
      <c r="AF61" s="1897"/>
      <c r="AG61" s="1897"/>
      <c r="AH61" s="1897"/>
      <c r="AI61" s="1897"/>
      <c r="AJ61" s="1897"/>
      <c r="AK61" s="1897"/>
      <c r="AL61" s="1897"/>
      <c r="AM61" s="1897"/>
      <c r="AN61" s="1897"/>
      <c r="AO61" s="1897"/>
      <c r="AP61" s="1897"/>
      <c r="AQ61" s="1897"/>
      <c r="AR61" s="1897"/>
      <c r="AS61" s="1897"/>
      <c r="AT61" s="1897"/>
      <c r="AU61" s="1897"/>
      <c r="AV61" s="1897"/>
      <c r="AW61" s="1897"/>
      <c r="AX61" s="1897"/>
      <c r="AY61" s="1897"/>
      <c r="AZ61" s="1897"/>
      <c r="BA61" s="1897"/>
      <c r="BB61" s="1897"/>
      <c r="BC61" s="1897"/>
      <c r="BD61" s="1897"/>
      <c r="BE61" s="1897"/>
      <c r="BF61" s="1897"/>
      <c r="BG61" s="1897"/>
      <c r="BH61" s="1897"/>
      <c r="BI61" s="1897"/>
      <c r="BJ61" s="1897"/>
      <c r="BK61" s="1897"/>
      <c r="BL61" s="1897"/>
      <c r="BM61" s="1897"/>
      <c r="BN61" s="1897"/>
      <c r="BO61" s="1897"/>
      <c r="BP61" s="1897"/>
      <c r="BQ61" s="1897"/>
      <c r="BR61" s="1897"/>
      <c r="BS61" s="1897"/>
      <c r="BT61" s="1897"/>
      <c r="BU61" s="1897"/>
      <c r="BV61" s="1897"/>
      <c r="BW61" s="1897"/>
      <c r="BX61" s="1897"/>
      <c r="BY61" s="1897"/>
      <c r="BZ61" s="1897"/>
      <c r="CA61" s="1897"/>
      <c r="CB61" s="1897"/>
      <c r="CC61" s="1897"/>
      <c r="CD61" s="1897"/>
      <c r="CE61" s="1897"/>
      <c r="CF61" s="1897"/>
      <c r="CG61" s="1897"/>
      <c r="CH61" s="1897"/>
      <c r="CI61" s="1897"/>
      <c r="CJ61" s="1897"/>
      <c r="CK61" s="1897"/>
      <c r="CL61" s="1897"/>
      <c r="CM61" s="1897"/>
      <c r="CN61" s="1897"/>
      <c r="CO61" s="1897"/>
      <c r="CP61" s="1897"/>
      <c r="CQ61" s="1897"/>
      <c r="CR61" s="1897"/>
      <c r="CS61" s="1897"/>
      <c r="CT61" s="1897"/>
      <c r="CU61" s="1897"/>
      <c r="CV61" s="1897"/>
      <c r="CW61" s="1897"/>
      <c r="CX61" s="1897"/>
      <c r="CY61" s="1897"/>
    </row>
    <row r="62" spans="1:103" s="1898" customFormat="1" ht="13.5" customHeight="1" x14ac:dyDescent="0.2">
      <c r="A62" s="3477"/>
      <c r="B62" s="1914" t="s">
        <v>12</v>
      </c>
      <c r="C62" s="3473"/>
      <c r="D62" s="1502">
        <f>+D63</f>
        <v>10961039</v>
      </c>
      <c r="E62" s="1504">
        <f t="shared" ref="E62:F62" si="69">+E63</f>
        <v>15000</v>
      </c>
      <c r="F62" s="1504">
        <f t="shared" si="69"/>
        <v>6247391</v>
      </c>
      <c r="G62" s="1504">
        <f>+G63</f>
        <v>4698648</v>
      </c>
      <c r="H62" s="1505">
        <f>+H63</f>
        <v>0</v>
      </c>
      <c r="I62" s="1502">
        <f>+I63</f>
        <v>4179925</v>
      </c>
      <c r="J62" s="1900">
        <f t="shared" si="48"/>
        <v>38.134386712792463</v>
      </c>
      <c r="K62" s="1504">
        <f t="shared" ref="K62" si="70">+K63</f>
        <v>0</v>
      </c>
      <c r="L62" s="1900">
        <f>K62/G62*100</f>
        <v>0</v>
      </c>
      <c r="M62" s="3466"/>
      <c r="N62" s="3469"/>
      <c r="O62" s="1897"/>
      <c r="P62" s="1897"/>
      <c r="Q62" s="1897"/>
      <c r="R62" s="1897"/>
      <c r="S62" s="1897"/>
      <c r="T62" s="1897"/>
      <c r="U62" s="1897"/>
      <c r="V62" s="1897"/>
      <c r="W62" s="1897"/>
      <c r="X62" s="1897"/>
      <c r="Y62" s="1897"/>
      <c r="Z62" s="1897"/>
      <c r="AA62" s="1897"/>
      <c r="AB62" s="1897"/>
      <c r="AC62" s="1897"/>
      <c r="AD62" s="1897"/>
      <c r="AE62" s="1897"/>
      <c r="AF62" s="1897"/>
      <c r="AG62" s="1897"/>
      <c r="AH62" s="1897"/>
      <c r="AI62" s="1897"/>
      <c r="AJ62" s="1897"/>
      <c r="AK62" s="1897"/>
      <c r="AL62" s="1897"/>
      <c r="AM62" s="1897"/>
      <c r="AN62" s="1897"/>
      <c r="AO62" s="1897"/>
      <c r="AP62" s="1897"/>
      <c r="AQ62" s="1897"/>
      <c r="AR62" s="1897"/>
      <c r="AS62" s="1897"/>
      <c r="AT62" s="1897"/>
      <c r="AU62" s="1897"/>
      <c r="AV62" s="1897"/>
      <c r="AW62" s="1897"/>
      <c r="AX62" s="1897"/>
      <c r="AY62" s="1897"/>
      <c r="AZ62" s="1897"/>
      <c r="BA62" s="1897"/>
      <c r="BB62" s="1897"/>
      <c r="BC62" s="1897"/>
      <c r="BD62" s="1897"/>
      <c r="BE62" s="1897"/>
      <c r="BF62" s="1897"/>
      <c r="BG62" s="1897"/>
      <c r="BH62" s="1897"/>
      <c r="BI62" s="1897"/>
      <c r="BJ62" s="1897"/>
      <c r="BK62" s="1897"/>
      <c r="BL62" s="1897"/>
      <c r="BM62" s="1897"/>
      <c r="BN62" s="1897"/>
      <c r="BO62" s="1897"/>
      <c r="BP62" s="1897"/>
      <c r="BQ62" s="1897"/>
      <c r="BR62" s="1897"/>
      <c r="BS62" s="1897"/>
      <c r="BT62" s="1897"/>
      <c r="BU62" s="1897"/>
      <c r="BV62" s="1897"/>
      <c r="BW62" s="1897"/>
      <c r="BX62" s="1897"/>
      <c r="BY62" s="1897"/>
      <c r="BZ62" s="1897"/>
      <c r="CA62" s="1897"/>
      <c r="CB62" s="1897"/>
      <c r="CC62" s="1897"/>
      <c r="CD62" s="1897"/>
      <c r="CE62" s="1897"/>
      <c r="CF62" s="1897"/>
      <c r="CG62" s="1897"/>
      <c r="CH62" s="1897"/>
      <c r="CI62" s="1897"/>
      <c r="CJ62" s="1897"/>
      <c r="CK62" s="1897"/>
      <c r="CL62" s="1897"/>
      <c r="CM62" s="1897"/>
      <c r="CN62" s="1897"/>
      <c r="CO62" s="1897"/>
      <c r="CP62" s="1897"/>
      <c r="CQ62" s="1897"/>
      <c r="CR62" s="1897"/>
      <c r="CS62" s="1897"/>
      <c r="CT62" s="1897"/>
      <c r="CU62" s="1897"/>
      <c r="CV62" s="1897"/>
      <c r="CW62" s="1897"/>
      <c r="CX62" s="1897"/>
      <c r="CY62" s="1897"/>
    </row>
    <row r="63" spans="1:103" s="1898" customFormat="1" ht="13.5" customHeight="1" thickBot="1" x14ac:dyDescent="0.25">
      <c r="A63" s="3478"/>
      <c r="B63" s="1915" t="s">
        <v>15</v>
      </c>
      <c r="C63" s="3475"/>
      <c r="D63" s="1916">
        <f>D80</f>
        <v>10961039</v>
      </c>
      <c r="E63" s="1917">
        <f t="shared" ref="E63:H63" si="71">E80</f>
        <v>15000</v>
      </c>
      <c r="F63" s="1917">
        <f t="shared" si="71"/>
        <v>6247391</v>
      </c>
      <c r="G63" s="1917">
        <f t="shared" si="71"/>
        <v>4698648</v>
      </c>
      <c r="H63" s="1511">
        <f t="shared" si="71"/>
        <v>0</v>
      </c>
      <c r="I63" s="1916">
        <f>I80</f>
        <v>4179925</v>
      </c>
      <c r="J63" s="1918">
        <f t="shared" si="48"/>
        <v>38.134386712792463</v>
      </c>
      <c r="K63" s="1917">
        <f t="shared" ref="K63" si="72">K80</f>
        <v>0</v>
      </c>
      <c r="L63" s="1918">
        <f>K63/G63*100</f>
        <v>0</v>
      </c>
      <c r="M63" s="3467"/>
      <c r="N63" s="3470"/>
      <c r="O63" s="1897"/>
      <c r="P63" s="1897"/>
      <c r="Q63" s="1897"/>
      <c r="R63" s="1897"/>
      <c r="S63" s="1897"/>
      <c r="T63" s="1897"/>
      <c r="U63" s="1897"/>
      <c r="V63" s="1897"/>
      <c r="W63" s="1897"/>
      <c r="X63" s="1897"/>
      <c r="Y63" s="1897"/>
      <c r="Z63" s="1897"/>
      <c r="AA63" s="1897"/>
      <c r="AB63" s="1897"/>
      <c r="AC63" s="1897"/>
      <c r="AD63" s="1897"/>
      <c r="AE63" s="1897"/>
      <c r="AF63" s="1897"/>
      <c r="AG63" s="1897"/>
      <c r="AH63" s="1897"/>
      <c r="AI63" s="1897"/>
      <c r="AJ63" s="1897"/>
      <c r="AK63" s="1897"/>
      <c r="AL63" s="1897"/>
      <c r="AM63" s="1897"/>
      <c r="AN63" s="1897"/>
      <c r="AO63" s="1897"/>
      <c r="AP63" s="1897"/>
      <c r="AQ63" s="1897"/>
      <c r="AR63" s="1897"/>
      <c r="AS63" s="1897"/>
      <c r="AT63" s="1897"/>
      <c r="AU63" s="1897"/>
      <c r="AV63" s="1897"/>
      <c r="AW63" s="1897"/>
      <c r="AX63" s="1897"/>
      <c r="AY63" s="1897"/>
      <c r="AZ63" s="1897"/>
      <c r="BA63" s="1897"/>
      <c r="BB63" s="1897"/>
      <c r="BC63" s="1897"/>
      <c r="BD63" s="1897"/>
      <c r="BE63" s="1897"/>
      <c r="BF63" s="1897"/>
      <c r="BG63" s="1897"/>
      <c r="BH63" s="1897"/>
      <c r="BI63" s="1897"/>
      <c r="BJ63" s="1897"/>
      <c r="BK63" s="1897"/>
      <c r="BL63" s="1897"/>
      <c r="BM63" s="1897"/>
      <c r="BN63" s="1897"/>
      <c r="BO63" s="1897"/>
      <c r="BP63" s="1897"/>
      <c r="BQ63" s="1897"/>
      <c r="BR63" s="1897"/>
      <c r="BS63" s="1897"/>
      <c r="BT63" s="1897"/>
      <c r="BU63" s="1897"/>
      <c r="BV63" s="1897"/>
      <c r="BW63" s="1897"/>
      <c r="BX63" s="1897"/>
      <c r="BY63" s="1897"/>
      <c r="BZ63" s="1897"/>
      <c r="CA63" s="1897"/>
      <c r="CB63" s="1897"/>
      <c r="CC63" s="1897"/>
      <c r="CD63" s="1897"/>
      <c r="CE63" s="1897"/>
      <c r="CF63" s="1897"/>
      <c r="CG63" s="1897"/>
      <c r="CH63" s="1897"/>
      <c r="CI63" s="1897"/>
      <c r="CJ63" s="1897"/>
      <c r="CK63" s="1897"/>
      <c r="CL63" s="1897"/>
      <c r="CM63" s="1897"/>
      <c r="CN63" s="1897"/>
      <c r="CO63" s="1897"/>
      <c r="CP63" s="1897"/>
      <c r="CQ63" s="1897"/>
      <c r="CR63" s="1897"/>
      <c r="CS63" s="1897"/>
      <c r="CT63" s="1897"/>
      <c r="CU63" s="1897"/>
      <c r="CV63" s="1897"/>
      <c r="CW63" s="1897"/>
      <c r="CX63" s="1897"/>
      <c r="CY63" s="1897"/>
    </row>
    <row r="64" spans="1:103" ht="45.75" customHeight="1" x14ac:dyDescent="0.2">
      <c r="A64" s="3440" t="s">
        <v>32</v>
      </c>
      <c r="B64" s="1919" t="s">
        <v>131</v>
      </c>
      <c r="C64" s="1513" t="s">
        <v>166</v>
      </c>
      <c r="D64" s="1920"/>
      <c r="E64" s="1666"/>
      <c r="F64" s="1666"/>
      <c r="G64" s="1666"/>
      <c r="H64" s="1921"/>
      <c r="I64" s="1922"/>
      <c r="J64" s="1669"/>
      <c r="K64" s="1515"/>
      <c r="L64" s="1669"/>
      <c r="M64" s="1666"/>
      <c r="N64" s="3481" t="s">
        <v>132</v>
      </c>
    </row>
    <row r="65" spans="1:14" ht="18" customHeight="1" x14ac:dyDescent="0.2">
      <c r="A65" s="3441"/>
      <c r="B65" s="846" t="s">
        <v>2</v>
      </c>
      <c r="C65" s="25"/>
      <c r="D65" s="1677">
        <f>+D66</f>
        <v>12084063</v>
      </c>
      <c r="E65" s="1675">
        <f t="shared" ref="E65:H66" si="73">E66</f>
        <v>10901413</v>
      </c>
      <c r="F65" s="1923">
        <f t="shared" si="73"/>
        <v>0</v>
      </c>
      <c r="G65" s="1923">
        <f t="shared" si="73"/>
        <v>0</v>
      </c>
      <c r="H65" s="1924">
        <f t="shared" si="73"/>
        <v>1182650</v>
      </c>
      <c r="I65" s="1677">
        <f t="shared" ref="I65:I67" si="74">+E65+F65+K65</f>
        <v>10901413</v>
      </c>
      <c r="J65" s="1925">
        <f>I65/D65*100</f>
        <v>90.213142715326782</v>
      </c>
      <c r="K65" s="1675">
        <f>K66</f>
        <v>0</v>
      </c>
      <c r="L65" s="1926">
        <v>0</v>
      </c>
      <c r="M65" s="1927">
        <v>0</v>
      </c>
      <c r="N65" s="3482"/>
    </row>
    <row r="66" spans="1:14" s="1934" customFormat="1" ht="18" customHeight="1" x14ac:dyDescent="0.2">
      <c r="A66" s="3441"/>
      <c r="B66" s="1207" t="s">
        <v>17</v>
      </c>
      <c r="C66" s="3100" t="s">
        <v>133</v>
      </c>
      <c r="D66" s="1928">
        <f>+D67</f>
        <v>12084063</v>
      </c>
      <c r="E66" s="1929">
        <f t="shared" si="73"/>
        <v>10901413</v>
      </c>
      <c r="F66" s="1930">
        <f t="shared" si="73"/>
        <v>0</v>
      </c>
      <c r="G66" s="1931">
        <f t="shared" si="73"/>
        <v>0</v>
      </c>
      <c r="H66" s="1932">
        <f t="shared" si="73"/>
        <v>1182650</v>
      </c>
      <c r="I66" s="1928">
        <f t="shared" si="74"/>
        <v>10901413</v>
      </c>
      <c r="J66" s="398">
        <f>I66/D66*100</f>
        <v>90.213142715326782</v>
      </c>
      <c r="K66" s="1631">
        <f>K67</f>
        <v>0</v>
      </c>
      <c r="L66" s="1588">
        <v>0</v>
      </c>
      <c r="M66" s="1933">
        <v>0</v>
      </c>
      <c r="N66" s="3482"/>
    </row>
    <row r="67" spans="1:14" ht="18.75" customHeight="1" thickBot="1" x14ac:dyDescent="0.25">
      <c r="A67" s="3442"/>
      <c r="B67" s="1935" t="s">
        <v>4</v>
      </c>
      <c r="C67" s="3189"/>
      <c r="D67" s="1936">
        <f>+E67+F67+G67+H67</f>
        <v>12084063</v>
      </c>
      <c r="E67" s="1937">
        <f>256114+3490843+7154456</f>
        <v>10901413</v>
      </c>
      <c r="F67" s="1938">
        <v>0</v>
      </c>
      <c r="G67" s="3006">
        <v>0</v>
      </c>
      <c r="H67" s="1939">
        <v>1182650</v>
      </c>
      <c r="I67" s="1613">
        <f t="shared" si="74"/>
        <v>10901413</v>
      </c>
      <c r="J67" s="1940">
        <f>I67/D67*100</f>
        <v>90.213142715326782</v>
      </c>
      <c r="K67" s="1692">
        <v>0</v>
      </c>
      <c r="L67" s="1958">
        <v>0</v>
      </c>
      <c r="M67" s="1941">
        <v>0</v>
      </c>
      <c r="N67" s="3483"/>
    </row>
    <row r="68" spans="1:14" ht="56.25" customHeight="1" x14ac:dyDescent="0.2">
      <c r="A68" s="3440" t="s">
        <v>35</v>
      </c>
      <c r="B68" s="1942" t="s">
        <v>211</v>
      </c>
      <c r="C68" s="1513" t="s">
        <v>166</v>
      </c>
      <c r="D68" s="1920"/>
      <c r="E68" s="1666"/>
      <c r="F68" s="1666"/>
      <c r="G68" s="1666"/>
      <c r="H68" s="1667"/>
      <c r="I68" s="1668"/>
      <c r="J68" s="1669"/>
      <c r="K68" s="1515"/>
      <c r="L68" s="1669"/>
      <c r="M68" s="1666"/>
      <c r="N68" s="3443" t="s">
        <v>214</v>
      </c>
    </row>
    <row r="69" spans="1:14" ht="12.75" customHeight="1" x14ac:dyDescent="0.2">
      <c r="A69" s="3471"/>
      <c r="B69" s="1328" t="s">
        <v>2</v>
      </c>
      <c r="C69" s="1709"/>
      <c r="D69" s="1943">
        <f>+D70+D73</f>
        <v>19364859</v>
      </c>
      <c r="E69" s="1797">
        <f>+E70+E73</f>
        <v>20000</v>
      </c>
      <c r="F69" s="1797">
        <f>F70+F73</f>
        <v>10101090</v>
      </c>
      <c r="G69" s="1797">
        <f>+G70+G73</f>
        <v>9243769</v>
      </c>
      <c r="H69" s="1944">
        <f>+H70+H73</f>
        <v>0</v>
      </c>
      <c r="I69" s="1677">
        <f>I70+I73</f>
        <v>7552174</v>
      </c>
      <c r="J69" s="1926">
        <f t="shared" ref="J69:J80" si="75">I69/D69*100</f>
        <v>38.999375105184086</v>
      </c>
      <c r="K69" s="1675">
        <f>+K70+K73</f>
        <v>0</v>
      </c>
      <c r="L69" s="1926">
        <f t="shared" ref="L69:L80" si="76">K69/G69*100</f>
        <v>0</v>
      </c>
      <c r="M69" s="1675">
        <f t="shared" ref="M69:M74" si="77">+K69-G69</f>
        <v>-9243769</v>
      </c>
      <c r="N69" s="3444"/>
    </row>
    <row r="70" spans="1:14" ht="13.5" customHeight="1" x14ac:dyDescent="0.2">
      <c r="A70" s="3471"/>
      <c r="B70" s="1945" t="s">
        <v>17</v>
      </c>
      <c r="C70" s="3100" t="s">
        <v>213</v>
      </c>
      <c r="D70" s="1946">
        <f t="shared" ref="D70" si="78">D72+D71</f>
        <v>8403820</v>
      </c>
      <c r="E70" s="1545">
        <f>E72+E71</f>
        <v>5000</v>
      </c>
      <c r="F70" s="1545">
        <f>F72+F71</f>
        <v>3853699</v>
      </c>
      <c r="G70" s="1545">
        <f t="shared" ref="G70:H70" si="79">G72+G71</f>
        <v>4545121</v>
      </c>
      <c r="H70" s="1947">
        <f t="shared" si="79"/>
        <v>0</v>
      </c>
      <c r="I70" s="1593">
        <f>I71+I72</f>
        <v>3216470</v>
      </c>
      <c r="J70" s="1594">
        <f t="shared" si="75"/>
        <v>38.273904010319114</v>
      </c>
      <c r="K70" s="1948">
        <f>K72+K71</f>
        <v>0</v>
      </c>
      <c r="L70" s="1594">
        <f t="shared" si="76"/>
        <v>0</v>
      </c>
      <c r="M70" s="1948">
        <f t="shared" si="77"/>
        <v>-4545121</v>
      </c>
      <c r="N70" s="3444"/>
    </row>
    <row r="71" spans="1:14" ht="15" customHeight="1" x14ac:dyDescent="0.2">
      <c r="A71" s="3471"/>
      <c r="B71" s="1949" t="s">
        <v>212</v>
      </c>
      <c r="C71" s="3100"/>
      <c r="D71" s="1950">
        <f>+E71+F71+G71+H71</f>
        <v>3653680</v>
      </c>
      <c r="E71" s="1536">
        <v>5000</v>
      </c>
      <c r="F71" s="1536">
        <v>2082464</v>
      </c>
      <c r="G71" s="1536">
        <v>1566216</v>
      </c>
      <c r="H71" s="1931">
        <v>0</v>
      </c>
      <c r="I71" s="1687">
        <f>+E71+F71+K71-5000-637229</f>
        <v>1445235</v>
      </c>
      <c r="J71" s="1588">
        <f t="shared" si="75"/>
        <v>39.555598738805806</v>
      </c>
      <c r="K71" s="1631">
        <v>0</v>
      </c>
      <c r="L71" s="1588">
        <f t="shared" si="76"/>
        <v>0</v>
      </c>
      <c r="M71" s="1589">
        <f t="shared" si="77"/>
        <v>-1566216</v>
      </c>
      <c r="N71" s="3444"/>
    </row>
    <row r="72" spans="1:14" ht="12.75" customHeight="1" x14ac:dyDescent="0.2">
      <c r="A72" s="3471"/>
      <c r="B72" s="1949" t="s">
        <v>215</v>
      </c>
      <c r="C72" s="3137"/>
      <c r="D72" s="1950">
        <f>+E72+F72+G72+H72</f>
        <v>4750140</v>
      </c>
      <c r="E72" s="1536">
        <v>0</v>
      </c>
      <c r="F72" s="1536">
        <v>1771235</v>
      </c>
      <c r="G72" s="1536">
        <v>2978905</v>
      </c>
      <c r="H72" s="1931">
        <v>0</v>
      </c>
      <c r="I72" s="1587">
        <f>+E72+F72+K72</f>
        <v>1771235</v>
      </c>
      <c r="J72" s="1588">
        <f t="shared" si="75"/>
        <v>37.288058878264643</v>
      </c>
      <c r="K72" s="1589">
        <v>0</v>
      </c>
      <c r="L72" s="1588">
        <f t="shared" si="76"/>
        <v>0</v>
      </c>
      <c r="M72" s="1589">
        <f t="shared" si="77"/>
        <v>-2978905</v>
      </c>
      <c r="N72" s="3444"/>
    </row>
    <row r="73" spans="1:14" ht="12.75" customHeight="1" x14ac:dyDescent="0.2">
      <c r="A73" s="3471"/>
      <c r="B73" s="1951" t="s">
        <v>12</v>
      </c>
      <c r="C73" s="3137"/>
      <c r="D73" s="1946">
        <f t="shared" ref="D73:H73" si="80">+D74</f>
        <v>10961039</v>
      </c>
      <c r="E73" s="1545">
        <f t="shared" si="80"/>
        <v>15000</v>
      </c>
      <c r="F73" s="1545">
        <f t="shared" si="80"/>
        <v>6247391</v>
      </c>
      <c r="G73" s="1545">
        <f t="shared" si="80"/>
        <v>4698648</v>
      </c>
      <c r="H73" s="1947">
        <f t="shared" si="80"/>
        <v>0</v>
      </c>
      <c r="I73" s="1593">
        <f>I74</f>
        <v>4335704</v>
      </c>
      <c r="J73" s="1594">
        <f t="shared" si="75"/>
        <v>39.555593224328462</v>
      </c>
      <c r="K73" s="1948">
        <f>+K74</f>
        <v>0</v>
      </c>
      <c r="L73" s="1594">
        <f t="shared" si="76"/>
        <v>0</v>
      </c>
      <c r="M73" s="1948">
        <f t="shared" si="77"/>
        <v>-4698648</v>
      </c>
      <c r="N73" s="3444"/>
    </row>
    <row r="74" spans="1:14" ht="12.75" customHeight="1" x14ac:dyDescent="0.2">
      <c r="A74" s="3471"/>
      <c r="B74" s="1952" t="s">
        <v>15</v>
      </c>
      <c r="C74" s="3137"/>
      <c r="D74" s="1950">
        <f>+E74+F74+G74+H74</f>
        <v>10961039</v>
      </c>
      <c r="E74" s="1536">
        <v>15000</v>
      </c>
      <c r="F74" s="1536">
        <v>6247391</v>
      </c>
      <c r="G74" s="1536">
        <v>4698648</v>
      </c>
      <c r="H74" s="1931">
        <v>0</v>
      </c>
      <c r="I74" s="1587">
        <f>+E74+F74+K74-15000-1911687</f>
        <v>4335704</v>
      </c>
      <c r="J74" s="1588">
        <f t="shared" si="75"/>
        <v>39.555593224328462</v>
      </c>
      <c r="K74" s="1589">
        <v>0</v>
      </c>
      <c r="L74" s="1588">
        <f t="shared" si="76"/>
        <v>0</v>
      </c>
      <c r="M74" s="1589">
        <f t="shared" si="77"/>
        <v>-4698648</v>
      </c>
      <c r="N74" s="3444"/>
    </row>
    <row r="75" spans="1:14" ht="13.5" thickBot="1" x14ac:dyDescent="0.25">
      <c r="A75" s="3471"/>
      <c r="B75" s="1328" t="s">
        <v>16</v>
      </c>
      <c r="C75" s="1953"/>
      <c r="D75" s="1943">
        <f>D79+D76</f>
        <v>18154770</v>
      </c>
      <c r="E75" s="1797">
        <f>E79</f>
        <v>15000</v>
      </c>
      <c r="F75" s="1797">
        <f>F79+F76</f>
        <v>10390102</v>
      </c>
      <c r="G75" s="1797">
        <f>G79+G76</f>
        <v>7744668</v>
      </c>
      <c r="H75" s="1944">
        <f>H79+H76</f>
        <v>0</v>
      </c>
      <c r="I75" s="1677">
        <f>I76+I79</f>
        <v>5625160</v>
      </c>
      <c r="J75" s="1926">
        <f t="shared" si="75"/>
        <v>30.984474052824684</v>
      </c>
      <c r="K75" s="1675">
        <f>K79+K76</f>
        <v>0</v>
      </c>
      <c r="L75" s="1926">
        <f t="shared" si="76"/>
        <v>0</v>
      </c>
      <c r="M75" s="1675"/>
      <c r="N75" s="3445"/>
    </row>
    <row r="76" spans="1:14" ht="12.75" x14ac:dyDescent="0.2">
      <c r="A76" s="3471"/>
      <c r="B76" s="1951" t="s">
        <v>17</v>
      </c>
      <c r="C76" s="3479"/>
      <c r="D76" s="1946">
        <f>+D77+D78</f>
        <v>7193731</v>
      </c>
      <c r="E76" s="1545">
        <f t="shared" ref="E76:H76" si="81">+E77+E78</f>
        <v>5000</v>
      </c>
      <c r="F76" s="1545">
        <f t="shared" si="81"/>
        <v>4142711</v>
      </c>
      <c r="G76" s="1545">
        <f t="shared" si="81"/>
        <v>3046020</v>
      </c>
      <c r="H76" s="1549">
        <f t="shared" si="81"/>
        <v>0</v>
      </c>
      <c r="I76" s="1593">
        <f>I77+I78</f>
        <v>1445235</v>
      </c>
      <c r="J76" s="1588">
        <f t="shared" si="75"/>
        <v>20.090200759522421</v>
      </c>
      <c r="K76" s="1948">
        <f>+K77+K78</f>
        <v>0</v>
      </c>
      <c r="L76" s="1588">
        <f t="shared" si="76"/>
        <v>0</v>
      </c>
      <c r="M76" s="3464" t="s">
        <v>78</v>
      </c>
      <c r="N76" s="3443"/>
    </row>
    <row r="77" spans="1:14" ht="13.5" thickBot="1" x14ac:dyDescent="0.25">
      <c r="A77" s="3471"/>
      <c r="B77" s="1954" t="s">
        <v>212</v>
      </c>
      <c r="C77" s="3480"/>
      <c r="D77" s="1955">
        <f>+E77+F77+G77+H77</f>
        <v>3653680</v>
      </c>
      <c r="E77" s="1627">
        <v>5000</v>
      </c>
      <c r="F77" s="1627">
        <v>2082464</v>
      </c>
      <c r="G77" s="1627">
        <v>1566216</v>
      </c>
      <c r="H77" s="1632">
        <v>0</v>
      </c>
      <c r="I77" s="1587">
        <v>1445235</v>
      </c>
      <c r="J77" s="1594">
        <f t="shared" si="75"/>
        <v>39.555598738805806</v>
      </c>
      <c r="K77" s="1589">
        <v>0</v>
      </c>
      <c r="L77" s="1594">
        <f t="shared" si="76"/>
        <v>0</v>
      </c>
      <c r="M77" s="3464"/>
      <c r="N77" s="3445"/>
    </row>
    <row r="78" spans="1:14" ht="12.75" x14ac:dyDescent="0.2">
      <c r="A78" s="3440"/>
      <c r="B78" s="1954" t="s">
        <v>216</v>
      </c>
      <c r="C78" s="3480"/>
      <c r="D78" s="1955">
        <f>+E78+F78+G78+H78</f>
        <v>3540051</v>
      </c>
      <c r="E78" s="1627">
        <v>0</v>
      </c>
      <c r="F78" s="1627">
        <v>2060247</v>
      </c>
      <c r="G78" s="1627">
        <v>1479804</v>
      </c>
      <c r="H78" s="1632">
        <v>0</v>
      </c>
      <c r="I78" s="1687">
        <v>0</v>
      </c>
      <c r="J78" s="1630">
        <f t="shared" si="75"/>
        <v>0</v>
      </c>
      <c r="K78" s="1631">
        <v>0</v>
      </c>
      <c r="L78" s="1630">
        <f t="shared" si="76"/>
        <v>0</v>
      </c>
      <c r="M78" s="3464"/>
      <c r="N78" s="3444"/>
    </row>
    <row r="79" spans="1:14" ht="12.75" customHeight="1" thickBot="1" x14ac:dyDescent="0.25">
      <c r="A79" s="3472"/>
      <c r="B79" s="1956" t="s">
        <v>12</v>
      </c>
      <c r="C79" s="3100" t="s">
        <v>127</v>
      </c>
      <c r="D79" s="1946">
        <f>+D80</f>
        <v>10961039</v>
      </c>
      <c r="E79" s="1545">
        <f t="shared" ref="E79:F79" si="82">+E80</f>
        <v>15000</v>
      </c>
      <c r="F79" s="1545">
        <f t="shared" si="82"/>
        <v>6247391</v>
      </c>
      <c r="G79" s="1545">
        <f>+G80</f>
        <v>4698648</v>
      </c>
      <c r="H79" s="1549">
        <f>+H80</f>
        <v>0</v>
      </c>
      <c r="I79" s="1593">
        <f>I80</f>
        <v>4179925</v>
      </c>
      <c r="J79" s="1594">
        <f t="shared" si="75"/>
        <v>38.134386712792463</v>
      </c>
      <c r="K79" s="1948">
        <f>+K80</f>
        <v>0</v>
      </c>
      <c r="L79" s="1594">
        <f t="shared" si="76"/>
        <v>0</v>
      </c>
      <c r="M79" s="3464"/>
      <c r="N79" s="3444"/>
    </row>
    <row r="80" spans="1:14" ht="13.5" customHeight="1" thickBot="1" x14ac:dyDescent="0.25">
      <c r="A80" s="3472"/>
      <c r="B80" s="798" t="s">
        <v>15</v>
      </c>
      <c r="C80" s="3114"/>
      <c r="D80" s="1957">
        <f>+E80+F80+G80+H80</f>
        <v>10961039</v>
      </c>
      <c r="E80" s="1560">
        <v>15000</v>
      </c>
      <c r="F80" s="1560">
        <v>6247391</v>
      </c>
      <c r="G80" s="1560">
        <v>4698648</v>
      </c>
      <c r="H80" s="1565">
        <v>0</v>
      </c>
      <c r="I80" s="1613">
        <v>4179925</v>
      </c>
      <c r="J80" s="1958">
        <f t="shared" si="75"/>
        <v>38.134386712792463</v>
      </c>
      <c r="K80" s="1937">
        <v>0</v>
      </c>
      <c r="L80" s="1958">
        <f t="shared" si="76"/>
        <v>0</v>
      </c>
      <c r="M80" s="3465"/>
      <c r="N80" s="3445"/>
    </row>
    <row r="81" spans="1:14" ht="50.25" customHeight="1" thickBot="1" x14ac:dyDescent="0.25">
      <c r="A81" s="3458" t="s">
        <v>40</v>
      </c>
      <c r="B81" s="1942" t="s">
        <v>273</v>
      </c>
      <c r="C81" s="1513" t="s">
        <v>166</v>
      </c>
      <c r="D81" s="1920"/>
      <c r="E81" s="1666"/>
      <c r="F81" s="1666"/>
      <c r="G81" s="1666"/>
      <c r="H81" s="1921"/>
      <c r="I81" s="1668"/>
      <c r="J81" s="1669"/>
      <c r="K81" s="1515"/>
      <c r="L81" s="1669"/>
      <c r="M81" s="1666"/>
      <c r="N81" s="3443" t="s">
        <v>214</v>
      </c>
    </row>
    <row r="82" spans="1:14" ht="13.5" customHeight="1" x14ac:dyDescent="0.2">
      <c r="A82" s="3458"/>
      <c r="B82" s="1328" t="s">
        <v>2</v>
      </c>
      <c r="C82" s="3461" t="s">
        <v>213</v>
      </c>
      <c r="D82" s="1943">
        <f>+D83+D86</f>
        <v>160000</v>
      </c>
      <c r="E82" s="1797">
        <f>+E83+E86</f>
        <v>0</v>
      </c>
      <c r="F82" s="1797">
        <f>F83+F86</f>
        <v>16605</v>
      </c>
      <c r="G82" s="1797">
        <f>+G83+G86</f>
        <v>143395</v>
      </c>
      <c r="H82" s="1679">
        <f>+H83+H86</f>
        <v>0</v>
      </c>
      <c r="I82" s="1908">
        <f t="shared" ref="I82:I84" si="83">+E82+F82+K82</f>
        <v>16605</v>
      </c>
      <c r="J82" s="1909">
        <f t="shared" ref="J82:J84" si="84">I82/D82*100</f>
        <v>10.378125000000001</v>
      </c>
      <c r="K82" s="1797">
        <f>+K83+K86</f>
        <v>0</v>
      </c>
      <c r="L82" s="1909">
        <f t="shared" ref="L82:L84" si="85">K82/G82*100</f>
        <v>0</v>
      </c>
      <c r="M82" s="1797">
        <f>+K82-G82</f>
        <v>-143395</v>
      </c>
      <c r="N82" s="3444"/>
    </row>
    <row r="83" spans="1:14" ht="13.5" customHeight="1" thickBot="1" x14ac:dyDescent="0.25">
      <c r="A83" s="3459"/>
      <c r="B83" s="1945" t="s">
        <v>17</v>
      </c>
      <c r="C83" s="3461"/>
      <c r="D83" s="1544">
        <f t="shared" ref="D83" si="86">D85+D84</f>
        <v>160000</v>
      </c>
      <c r="E83" s="1545">
        <f>E85+E84</f>
        <v>0</v>
      </c>
      <c r="F83" s="1545">
        <f>F85+F84</f>
        <v>16605</v>
      </c>
      <c r="G83" s="1545">
        <f t="shared" ref="G83:H83" si="87">G85+G84</f>
        <v>143395</v>
      </c>
      <c r="H83" s="1549">
        <f t="shared" si="87"/>
        <v>0</v>
      </c>
      <c r="I83" s="1544">
        <f t="shared" si="83"/>
        <v>16605</v>
      </c>
      <c r="J83" s="1548">
        <f t="shared" si="84"/>
        <v>10.378125000000001</v>
      </c>
      <c r="K83" s="1545">
        <f>K85+K84</f>
        <v>0</v>
      </c>
      <c r="L83" s="1548">
        <f t="shared" si="85"/>
        <v>0</v>
      </c>
      <c r="M83" s="1545">
        <f>+K83-G83</f>
        <v>-143395</v>
      </c>
      <c r="N83" s="3444"/>
    </row>
    <row r="84" spans="1:14" ht="13.5" thickBot="1" x14ac:dyDescent="0.25">
      <c r="A84" s="3460"/>
      <c r="B84" s="1959" t="s">
        <v>215</v>
      </c>
      <c r="C84" s="3462"/>
      <c r="D84" s="1559">
        <f>+E84+F84+G84+H84</f>
        <v>160000</v>
      </c>
      <c r="E84" s="1560">
        <v>0</v>
      </c>
      <c r="F84" s="1560">
        <v>16605</v>
      </c>
      <c r="G84" s="1560">
        <v>143395</v>
      </c>
      <c r="H84" s="1960">
        <v>0</v>
      </c>
      <c r="I84" s="1961">
        <f t="shared" si="83"/>
        <v>16605</v>
      </c>
      <c r="J84" s="1563">
        <f t="shared" si="84"/>
        <v>10.378125000000001</v>
      </c>
      <c r="K84" s="1962">
        <v>0</v>
      </c>
      <c r="L84" s="1563">
        <f t="shared" si="85"/>
        <v>0</v>
      </c>
      <c r="M84" s="1962">
        <f>+K84-G84</f>
        <v>-143395</v>
      </c>
      <c r="N84" s="3463"/>
    </row>
    <row r="85" spans="1:14" x14ac:dyDescent="0.2">
      <c r="A85" s="1963"/>
      <c r="B85" s="1750"/>
      <c r="C85" s="1750"/>
      <c r="D85" s="1750"/>
      <c r="E85" s="1750"/>
      <c r="F85" s="1750"/>
      <c r="G85" s="1750"/>
      <c r="H85" s="1750"/>
      <c r="I85" s="1750"/>
      <c r="J85" s="1750"/>
      <c r="N85" s="1964"/>
    </row>
    <row r="86" spans="1:14" x14ac:dyDescent="0.2">
      <c r="A86" s="1963"/>
      <c r="B86" s="1750"/>
      <c r="C86" s="1750"/>
      <c r="D86" s="1750"/>
      <c r="E86" s="1750"/>
      <c r="F86" s="1750"/>
      <c r="G86" s="1750"/>
      <c r="H86" s="1750"/>
      <c r="I86" s="1750"/>
      <c r="J86" s="1750"/>
      <c r="N86" s="1964"/>
    </row>
    <row r="87" spans="1:14" x14ac:dyDescent="0.2">
      <c r="A87" s="1963"/>
      <c r="B87" s="1750"/>
      <c r="C87" s="1750"/>
      <c r="D87" s="1750"/>
      <c r="E87" s="1750"/>
      <c r="F87" s="1750"/>
      <c r="G87" s="1750"/>
      <c r="H87" s="1750"/>
      <c r="I87" s="1750"/>
      <c r="J87" s="1750"/>
      <c r="N87" s="1964"/>
    </row>
    <row r="88" spans="1:14" x14ac:dyDescent="0.2">
      <c r="A88" s="1963"/>
      <c r="B88" s="1750"/>
      <c r="C88" s="1750"/>
      <c r="D88" s="1750"/>
      <c r="E88" s="1750"/>
      <c r="F88" s="1750"/>
      <c r="G88" s="1750"/>
      <c r="H88" s="1750"/>
      <c r="I88" s="1750"/>
      <c r="J88" s="1750"/>
      <c r="N88" s="1964"/>
    </row>
    <row r="89" spans="1:14" x14ac:dyDescent="0.2">
      <c r="A89" s="1963"/>
      <c r="B89" s="1750"/>
      <c r="C89" s="1750"/>
      <c r="D89" s="1750"/>
      <c r="E89" s="1750"/>
      <c r="F89" s="1750"/>
      <c r="G89" s="1750"/>
      <c r="H89" s="1750"/>
      <c r="I89" s="1750"/>
      <c r="J89" s="1750"/>
      <c r="N89" s="1964"/>
    </row>
    <row r="90" spans="1:14" ht="12" thickBot="1" x14ac:dyDescent="0.25">
      <c r="A90" s="1965"/>
      <c r="B90" s="1966"/>
      <c r="C90" s="1966"/>
      <c r="D90" s="1966"/>
      <c r="E90" s="1966"/>
      <c r="F90" s="1966"/>
      <c r="G90" s="1966"/>
      <c r="H90" s="1966"/>
      <c r="I90" s="1966"/>
      <c r="J90" s="1966"/>
      <c r="K90" s="1966"/>
      <c r="L90" s="1966"/>
      <c r="M90" s="1967"/>
      <c r="N90" s="1968"/>
    </row>
    <row r="91" spans="1:14" x14ac:dyDescent="0.2">
      <c r="E91" s="1750"/>
      <c r="F91" s="1750"/>
      <c r="G91" s="1750"/>
      <c r="H91" s="1750"/>
      <c r="I91" s="1750"/>
      <c r="J91" s="1750"/>
      <c r="N91" s="1976"/>
    </row>
    <row r="92" spans="1:14" x14ac:dyDescent="0.2">
      <c r="E92" s="1750"/>
      <c r="F92" s="1750"/>
      <c r="G92" s="1750"/>
      <c r="H92" s="1750"/>
      <c r="I92" s="1750"/>
      <c r="J92" s="1750"/>
      <c r="N92" s="1976"/>
    </row>
    <row r="93" spans="1:14" x14ac:dyDescent="0.2">
      <c r="E93" s="1750"/>
      <c r="F93" s="1750"/>
      <c r="G93" s="1750"/>
      <c r="H93" s="1750"/>
      <c r="I93" s="1750"/>
      <c r="J93" s="1750"/>
      <c r="N93" s="1976"/>
    </row>
    <row r="94" spans="1:14" x14ac:dyDescent="0.2">
      <c r="E94" s="1750"/>
      <c r="F94" s="1750"/>
      <c r="G94" s="1750"/>
      <c r="H94" s="1750"/>
      <c r="I94" s="1750"/>
      <c r="J94" s="1750"/>
      <c r="N94" s="1976"/>
    </row>
    <row r="95" spans="1:14" x14ac:dyDescent="0.2">
      <c r="E95" s="1750"/>
      <c r="F95" s="1750"/>
      <c r="G95" s="1750"/>
      <c r="H95" s="1750"/>
      <c r="I95" s="1750"/>
      <c r="J95" s="1750"/>
      <c r="N95" s="1976"/>
    </row>
    <row r="96" spans="1:14" x14ac:dyDescent="0.2">
      <c r="E96" s="1750"/>
      <c r="F96" s="1750"/>
      <c r="G96" s="1750"/>
      <c r="H96" s="1750"/>
      <c r="I96" s="1750"/>
      <c r="J96" s="1750"/>
      <c r="N96" s="1976"/>
    </row>
    <row r="97" spans="1:14" x14ac:dyDescent="0.2">
      <c r="E97" s="1750"/>
      <c r="F97" s="1750"/>
      <c r="G97" s="1750"/>
      <c r="H97" s="1750"/>
      <c r="I97" s="1750"/>
      <c r="J97" s="1750"/>
      <c r="N97" s="1976"/>
    </row>
    <row r="98" spans="1:14" x14ac:dyDescent="0.2">
      <c r="E98" s="1750"/>
      <c r="F98" s="1750"/>
      <c r="G98" s="1750"/>
      <c r="H98" s="1750"/>
      <c r="I98" s="1750"/>
      <c r="J98" s="1750"/>
      <c r="N98" s="1976"/>
    </row>
    <row r="99" spans="1:14" x14ac:dyDescent="0.2">
      <c r="E99" s="1750"/>
      <c r="F99" s="1750"/>
      <c r="G99" s="1750"/>
      <c r="H99" s="1750"/>
      <c r="I99" s="1750"/>
      <c r="J99" s="1750"/>
      <c r="N99" s="1976"/>
    </row>
    <row r="100" spans="1:14" x14ac:dyDescent="0.2">
      <c r="E100" s="1750"/>
      <c r="F100" s="1750"/>
      <c r="G100" s="1750"/>
      <c r="H100" s="1750"/>
      <c r="I100" s="1750"/>
      <c r="J100" s="1750"/>
      <c r="N100" s="1976"/>
    </row>
    <row r="101" spans="1:14" x14ac:dyDescent="0.2">
      <c r="E101" s="1750"/>
      <c r="F101" s="1750"/>
      <c r="G101" s="1750"/>
      <c r="H101" s="1750"/>
      <c r="I101" s="1750"/>
      <c r="J101" s="1750"/>
      <c r="N101" s="1976"/>
    </row>
    <row r="102" spans="1:14" x14ac:dyDescent="0.2">
      <c r="E102" s="1750"/>
      <c r="F102" s="1750"/>
      <c r="G102" s="1750"/>
      <c r="H102" s="1750"/>
      <c r="I102" s="1750"/>
      <c r="J102" s="1750"/>
      <c r="N102" s="1976"/>
    </row>
    <row r="103" spans="1:14" x14ac:dyDescent="0.2">
      <c r="E103" s="1750"/>
      <c r="F103" s="1750"/>
      <c r="G103" s="1750"/>
      <c r="H103" s="1750"/>
      <c r="I103" s="1750"/>
      <c r="J103" s="1750"/>
      <c r="N103" s="1976"/>
    </row>
    <row r="104" spans="1:14" x14ac:dyDescent="0.2">
      <c r="E104" s="1750"/>
      <c r="F104" s="1750"/>
      <c r="G104" s="1750"/>
      <c r="H104" s="1750"/>
      <c r="I104" s="1750"/>
      <c r="J104" s="1750"/>
      <c r="N104" s="1976"/>
    </row>
    <row r="105" spans="1:14" x14ac:dyDescent="0.2">
      <c r="E105" s="1750"/>
      <c r="F105" s="1750"/>
      <c r="G105" s="1750"/>
      <c r="H105" s="1750"/>
      <c r="I105" s="1750"/>
      <c r="J105" s="1750"/>
      <c r="N105" s="1976"/>
    </row>
    <row r="106" spans="1:14" x14ac:dyDescent="0.2">
      <c r="E106" s="1750"/>
      <c r="F106" s="1750"/>
      <c r="G106" s="1750"/>
      <c r="H106" s="1750"/>
      <c r="I106" s="1750"/>
      <c r="J106" s="1750"/>
      <c r="N106" s="1976"/>
    </row>
    <row r="107" spans="1:14" x14ac:dyDescent="0.2">
      <c r="E107" s="1750"/>
      <c r="F107" s="1750"/>
      <c r="G107" s="1750"/>
      <c r="H107" s="1750"/>
      <c r="I107" s="1750"/>
      <c r="J107" s="1750"/>
      <c r="N107" s="1976"/>
    </row>
    <row r="108" spans="1:14" ht="12" thickBot="1" x14ac:dyDescent="0.25">
      <c r="E108" s="1750"/>
      <c r="F108" s="1750"/>
      <c r="G108" s="1750"/>
      <c r="H108" s="1750"/>
      <c r="I108" s="1750"/>
      <c r="J108" s="1750"/>
      <c r="N108" s="1976"/>
    </row>
    <row r="109" spans="1:14" x14ac:dyDescent="0.2">
      <c r="A109" s="1969"/>
      <c r="B109" s="1970"/>
      <c r="C109" s="1970"/>
      <c r="D109" s="1970"/>
      <c r="E109" s="1970"/>
      <c r="F109" s="1970"/>
      <c r="G109" s="1970"/>
      <c r="H109" s="1970"/>
      <c r="I109" s="1970"/>
      <c r="J109" s="1970"/>
      <c r="K109" s="1970"/>
      <c r="L109" s="1970"/>
      <c r="M109" s="1971"/>
      <c r="N109" s="1972"/>
    </row>
    <row r="110" spans="1:14" x14ac:dyDescent="0.2">
      <c r="A110" s="1963"/>
      <c r="B110" s="1750"/>
      <c r="C110" s="1750"/>
      <c r="D110" s="1750"/>
      <c r="E110" s="1750"/>
      <c r="F110" s="1750"/>
      <c r="G110" s="1750"/>
      <c r="H110" s="1750"/>
      <c r="I110" s="1750"/>
      <c r="J110" s="1750"/>
      <c r="N110" s="1964"/>
    </row>
    <row r="111" spans="1:14" x14ac:dyDescent="0.2">
      <c r="A111" s="1963"/>
      <c r="B111" s="1750"/>
      <c r="C111" s="1750"/>
      <c r="D111" s="1750"/>
      <c r="E111" s="1750"/>
      <c r="F111" s="1750"/>
      <c r="G111" s="1750"/>
      <c r="H111" s="1750"/>
      <c r="I111" s="1750"/>
      <c r="J111" s="1750"/>
      <c r="N111" s="1964"/>
    </row>
    <row r="112" spans="1:14" x14ac:dyDescent="0.2">
      <c r="A112" s="1963"/>
      <c r="B112" s="1750"/>
      <c r="C112" s="1750"/>
      <c r="D112" s="1750"/>
      <c r="E112" s="1750"/>
      <c r="F112" s="1750"/>
      <c r="G112" s="1750"/>
      <c r="H112" s="1750"/>
      <c r="I112" s="1750"/>
      <c r="J112" s="1750"/>
      <c r="N112" s="1964"/>
    </row>
    <row r="113" spans="1:14" x14ac:dyDescent="0.2">
      <c r="A113" s="1963"/>
      <c r="B113" s="1750"/>
      <c r="C113" s="1750"/>
      <c r="D113" s="1750"/>
      <c r="E113" s="1750"/>
      <c r="F113" s="1750"/>
      <c r="G113" s="1750"/>
      <c r="H113" s="1750"/>
      <c r="I113" s="1750"/>
      <c r="J113" s="1750"/>
      <c r="N113" s="1964"/>
    </row>
    <row r="114" spans="1:14" x14ac:dyDescent="0.2">
      <c r="A114" s="1963"/>
      <c r="B114" s="1750"/>
      <c r="C114" s="1750"/>
      <c r="D114" s="1750"/>
      <c r="E114" s="1750"/>
      <c r="F114" s="1750"/>
      <c r="G114" s="1750"/>
      <c r="H114" s="1750"/>
      <c r="I114" s="1750"/>
      <c r="J114" s="1750"/>
      <c r="N114" s="1964"/>
    </row>
    <row r="115" spans="1:14" x14ac:dyDescent="0.2">
      <c r="A115" s="1963"/>
      <c r="B115" s="1750"/>
      <c r="C115" s="1750"/>
      <c r="D115" s="1750"/>
      <c r="E115" s="1750"/>
      <c r="F115" s="1750"/>
      <c r="G115" s="1750"/>
      <c r="H115" s="1750"/>
      <c r="I115" s="1750"/>
      <c r="J115" s="1750"/>
      <c r="N115" s="1964"/>
    </row>
    <row r="116" spans="1:14" x14ac:dyDescent="0.2">
      <c r="A116" s="1963"/>
      <c r="B116" s="1750"/>
      <c r="C116" s="1750"/>
      <c r="D116" s="1750"/>
      <c r="E116" s="1750"/>
      <c r="F116" s="1750"/>
      <c r="G116" s="1750"/>
      <c r="H116" s="1750"/>
      <c r="I116" s="1750"/>
      <c r="J116" s="1750"/>
      <c r="N116" s="1964"/>
    </row>
    <row r="117" spans="1:14" ht="12" thickBot="1" x14ac:dyDescent="0.25">
      <c r="A117" s="1965"/>
      <c r="B117" s="1966"/>
      <c r="C117" s="1966"/>
      <c r="D117" s="1966"/>
      <c r="E117" s="1966"/>
      <c r="F117" s="1966"/>
      <c r="G117" s="1966"/>
      <c r="H117" s="1966"/>
      <c r="I117" s="1966"/>
      <c r="J117" s="1966"/>
      <c r="K117" s="1966"/>
      <c r="L117" s="1966"/>
      <c r="M117" s="1967"/>
      <c r="N117" s="1968"/>
    </row>
    <row r="118" spans="1:14" x14ac:dyDescent="0.2">
      <c r="A118" s="1969"/>
      <c r="B118" s="1970"/>
      <c r="C118" s="1970"/>
      <c r="D118" s="1970"/>
      <c r="E118" s="1970"/>
      <c r="F118" s="1970"/>
      <c r="G118" s="1970"/>
      <c r="H118" s="1970"/>
      <c r="I118" s="1970"/>
      <c r="J118" s="1970"/>
      <c r="K118" s="1970"/>
      <c r="L118" s="1970"/>
      <c r="M118" s="1971"/>
      <c r="N118" s="1972"/>
    </row>
    <row r="119" spans="1:14" x14ac:dyDescent="0.2">
      <c r="A119" s="1963"/>
      <c r="B119" s="1750"/>
      <c r="C119" s="1750"/>
      <c r="D119" s="1750"/>
      <c r="E119" s="1750"/>
      <c r="F119" s="1750"/>
      <c r="G119" s="1750"/>
      <c r="H119" s="1750"/>
      <c r="I119" s="1750"/>
      <c r="J119" s="1750"/>
      <c r="N119" s="1964"/>
    </row>
    <row r="120" spans="1:14" x14ac:dyDescent="0.2">
      <c r="A120" s="1963"/>
      <c r="B120" s="1750"/>
      <c r="C120" s="1750"/>
      <c r="D120" s="1750"/>
      <c r="E120" s="1750"/>
      <c r="F120" s="1750"/>
      <c r="G120" s="1750"/>
      <c r="H120" s="1750"/>
      <c r="I120" s="1750"/>
      <c r="J120" s="1750"/>
      <c r="N120" s="1964"/>
    </row>
    <row r="121" spans="1:14" x14ac:dyDescent="0.2">
      <c r="A121" s="1963"/>
      <c r="B121" s="1750"/>
      <c r="C121" s="1750"/>
      <c r="D121" s="1750"/>
      <c r="E121" s="1750"/>
      <c r="F121" s="1750"/>
      <c r="G121" s="1750"/>
      <c r="H121" s="1750"/>
      <c r="I121" s="1750"/>
      <c r="J121" s="1750"/>
      <c r="N121" s="1964"/>
    </row>
    <row r="122" spans="1:14" x14ac:dyDescent="0.2">
      <c r="A122" s="1963"/>
      <c r="B122" s="1750"/>
      <c r="C122" s="1750"/>
      <c r="D122" s="1750"/>
      <c r="E122" s="1750"/>
      <c r="F122" s="1750"/>
      <c r="G122" s="1750"/>
      <c r="H122" s="1750"/>
      <c r="I122" s="1750"/>
      <c r="J122" s="1750"/>
      <c r="N122" s="1964"/>
    </row>
    <row r="123" spans="1:14" x14ac:dyDescent="0.2">
      <c r="A123" s="1963"/>
      <c r="B123" s="1750"/>
      <c r="C123" s="1750"/>
      <c r="D123" s="1750"/>
      <c r="E123" s="1750"/>
      <c r="F123" s="1750"/>
      <c r="G123" s="1750"/>
      <c r="H123" s="1750"/>
      <c r="I123" s="1750"/>
      <c r="J123" s="1750"/>
      <c r="N123" s="1964"/>
    </row>
    <row r="124" spans="1:14" x14ac:dyDescent="0.2">
      <c r="A124" s="1963"/>
      <c r="B124" s="1750"/>
      <c r="C124" s="1750"/>
      <c r="D124" s="1750"/>
      <c r="E124" s="1750"/>
      <c r="F124" s="1750"/>
      <c r="G124" s="1750"/>
      <c r="H124" s="1750"/>
      <c r="I124" s="1750"/>
      <c r="J124" s="1750"/>
      <c r="N124" s="1964"/>
    </row>
    <row r="125" spans="1:14" x14ac:dyDescent="0.2">
      <c r="A125" s="1963"/>
      <c r="B125" s="1750"/>
      <c r="C125" s="1750"/>
      <c r="D125" s="1750"/>
      <c r="E125" s="1750"/>
      <c r="F125" s="1750"/>
      <c r="G125" s="1750"/>
      <c r="H125" s="1750"/>
      <c r="I125" s="1750"/>
      <c r="J125" s="1750"/>
      <c r="N125" s="1964"/>
    </row>
    <row r="126" spans="1:14" ht="12" thickBot="1" x14ac:dyDescent="0.25">
      <c r="A126" s="1965"/>
      <c r="B126" s="1966"/>
      <c r="C126" s="1966"/>
      <c r="D126" s="1966"/>
      <c r="E126" s="1966"/>
      <c r="F126" s="1966"/>
      <c r="G126" s="1966"/>
      <c r="H126" s="1966"/>
      <c r="I126" s="1966"/>
      <c r="J126" s="1966"/>
      <c r="K126" s="1966"/>
      <c r="L126" s="1966"/>
      <c r="M126" s="1967"/>
      <c r="N126" s="1968"/>
    </row>
    <row r="127" spans="1:14" x14ac:dyDescent="0.2">
      <c r="E127" s="1750"/>
      <c r="F127" s="1750"/>
      <c r="G127" s="1750"/>
      <c r="H127" s="1750"/>
      <c r="I127" s="1750"/>
      <c r="J127" s="1750"/>
      <c r="N127" s="1976"/>
    </row>
    <row r="128" spans="1:14" x14ac:dyDescent="0.2">
      <c r="E128" s="1750"/>
      <c r="F128" s="1750"/>
      <c r="G128" s="1750"/>
      <c r="H128" s="1750"/>
      <c r="I128" s="1750"/>
      <c r="J128" s="1750"/>
      <c r="N128" s="1976"/>
    </row>
    <row r="129" spans="5:14" x14ac:dyDescent="0.2">
      <c r="E129" s="1750"/>
      <c r="F129" s="1750"/>
      <c r="G129" s="1750"/>
      <c r="H129" s="1750"/>
      <c r="I129" s="1750"/>
      <c r="J129" s="1750"/>
      <c r="N129" s="1976"/>
    </row>
    <row r="130" spans="5:14" x14ac:dyDescent="0.2">
      <c r="E130" s="1750"/>
      <c r="F130" s="1750"/>
      <c r="G130" s="1750"/>
      <c r="H130" s="1750"/>
      <c r="I130" s="1750"/>
      <c r="J130" s="1750"/>
      <c r="N130" s="1976"/>
    </row>
    <row r="131" spans="5:14" x14ac:dyDescent="0.2">
      <c r="E131" s="1750"/>
      <c r="F131" s="1750"/>
      <c r="G131" s="1750"/>
      <c r="H131" s="1750"/>
      <c r="I131" s="1750"/>
      <c r="J131" s="1750"/>
      <c r="N131" s="1976"/>
    </row>
    <row r="132" spans="5:14" x14ac:dyDescent="0.2">
      <c r="E132" s="1750"/>
      <c r="F132" s="1750"/>
      <c r="G132" s="1750"/>
      <c r="H132" s="1750"/>
      <c r="I132" s="1750"/>
      <c r="J132" s="1750"/>
      <c r="N132" s="1976"/>
    </row>
    <row r="133" spans="5:14" x14ac:dyDescent="0.2">
      <c r="E133" s="1750"/>
      <c r="F133" s="1750"/>
      <c r="G133" s="1750"/>
      <c r="H133" s="1750"/>
      <c r="I133" s="1750"/>
      <c r="J133" s="1750"/>
      <c r="N133" s="1976"/>
    </row>
    <row r="134" spans="5:14" x14ac:dyDescent="0.2">
      <c r="E134" s="1750"/>
      <c r="F134" s="1750"/>
      <c r="G134" s="1750"/>
      <c r="H134" s="1750"/>
      <c r="I134" s="1750"/>
      <c r="J134" s="1750"/>
      <c r="N134" s="1976"/>
    </row>
    <row r="135" spans="5:14" x14ac:dyDescent="0.2">
      <c r="E135" s="1750"/>
      <c r="F135" s="1750"/>
      <c r="G135" s="1750"/>
      <c r="H135" s="1750"/>
      <c r="I135" s="1750"/>
      <c r="J135" s="1750"/>
      <c r="N135" s="1976"/>
    </row>
    <row r="136" spans="5:14" x14ac:dyDescent="0.2">
      <c r="E136" s="1750"/>
      <c r="F136" s="1750"/>
      <c r="G136" s="1750"/>
      <c r="H136" s="1750"/>
      <c r="I136" s="1750"/>
      <c r="J136" s="1750"/>
      <c r="N136" s="1976"/>
    </row>
    <row r="137" spans="5:14" x14ac:dyDescent="0.2">
      <c r="E137" s="1750"/>
      <c r="F137" s="1750"/>
      <c r="G137" s="1750"/>
      <c r="H137" s="1750"/>
      <c r="I137" s="1750"/>
      <c r="J137" s="1750"/>
      <c r="N137" s="1976"/>
    </row>
    <row r="138" spans="5:14" x14ac:dyDescent="0.2">
      <c r="E138" s="1750"/>
      <c r="F138" s="1750"/>
      <c r="G138" s="1750"/>
      <c r="H138" s="1750"/>
      <c r="I138" s="1750"/>
      <c r="J138" s="1750"/>
      <c r="N138" s="1976"/>
    </row>
    <row r="139" spans="5:14" x14ac:dyDescent="0.2">
      <c r="E139" s="1750"/>
      <c r="F139" s="1750"/>
      <c r="G139" s="1750"/>
      <c r="H139" s="1750"/>
      <c r="I139" s="1750"/>
      <c r="J139" s="1750"/>
      <c r="N139" s="1976"/>
    </row>
    <row r="140" spans="5:14" x14ac:dyDescent="0.2">
      <c r="E140" s="1750"/>
      <c r="F140" s="1750"/>
      <c r="G140" s="1750"/>
      <c r="H140" s="1750"/>
      <c r="I140" s="1750"/>
      <c r="J140" s="1750"/>
      <c r="N140" s="1976"/>
    </row>
    <row r="141" spans="5:14" x14ac:dyDescent="0.2">
      <c r="E141" s="1750"/>
      <c r="F141" s="1750"/>
      <c r="G141" s="1750"/>
      <c r="H141" s="1750"/>
      <c r="I141" s="1750"/>
      <c r="J141" s="1750"/>
      <c r="N141" s="1976"/>
    </row>
    <row r="142" spans="5:14" x14ac:dyDescent="0.2">
      <c r="E142" s="1750"/>
      <c r="F142" s="1750"/>
      <c r="G142" s="1750"/>
      <c r="H142" s="1750"/>
      <c r="I142" s="1750"/>
      <c r="J142" s="1750"/>
      <c r="N142" s="1976"/>
    </row>
    <row r="143" spans="5:14" x14ac:dyDescent="0.2">
      <c r="E143" s="1750"/>
      <c r="F143" s="1750"/>
      <c r="G143" s="1750"/>
      <c r="H143" s="1750"/>
      <c r="I143" s="1750"/>
      <c r="J143" s="1750"/>
      <c r="N143" s="1976"/>
    </row>
    <row r="144" spans="5:14" ht="12" thickBot="1" x14ac:dyDescent="0.25">
      <c r="E144" s="1750"/>
      <c r="F144" s="1750"/>
      <c r="G144" s="1750"/>
      <c r="H144" s="1750"/>
      <c r="I144" s="1750"/>
      <c r="J144" s="1750"/>
      <c r="N144" s="1976"/>
    </row>
    <row r="145" spans="1:14" x14ac:dyDescent="0.2">
      <c r="A145" s="1969"/>
      <c r="B145" s="1970"/>
      <c r="C145" s="1970"/>
      <c r="D145" s="1970"/>
      <c r="E145" s="1970"/>
      <c r="F145" s="1970"/>
      <c r="G145" s="1970"/>
      <c r="H145" s="1970"/>
      <c r="I145" s="1970"/>
      <c r="J145" s="1970"/>
      <c r="K145" s="1970"/>
      <c r="L145" s="1970"/>
      <c r="M145" s="1971"/>
      <c r="N145" s="1972"/>
    </row>
    <row r="146" spans="1:14" x14ac:dyDescent="0.2">
      <c r="A146" s="1963"/>
      <c r="B146" s="1750"/>
      <c r="C146" s="1750"/>
      <c r="D146" s="1750"/>
      <c r="E146" s="1750"/>
      <c r="F146" s="1750"/>
      <c r="G146" s="1750"/>
      <c r="H146" s="1750"/>
      <c r="I146" s="1750"/>
      <c r="J146" s="1750"/>
      <c r="N146" s="1964"/>
    </row>
    <row r="147" spans="1:14" x14ac:dyDescent="0.2">
      <c r="A147" s="1963"/>
      <c r="B147" s="1750"/>
      <c r="C147" s="1750"/>
      <c r="D147" s="1750"/>
      <c r="E147" s="1750"/>
      <c r="F147" s="1750"/>
      <c r="G147" s="1750"/>
      <c r="H147" s="1750"/>
      <c r="I147" s="1750"/>
      <c r="J147" s="1750"/>
      <c r="N147" s="1964"/>
    </row>
    <row r="148" spans="1:14" x14ac:dyDescent="0.2">
      <c r="A148" s="1963"/>
      <c r="B148" s="1750"/>
      <c r="C148" s="1750"/>
      <c r="D148" s="1750"/>
      <c r="E148" s="1750"/>
      <c r="F148" s="1750"/>
      <c r="G148" s="1750"/>
      <c r="H148" s="1750"/>
      <c r="I148" s="1750"/>
      <c r="J148" s="1750"/>
      <c r="N148" s="1964"/>
    </row>
    <row r="149" spans="1:14" x14ac:dyDescent="0.2">
      <c r="A149" s="1963"/>
      <c r="B149" s="1750"/>
      <c r="C149" s="1750"/>
      <c r="D149" s="1750"/>
      <c r="E149" s="1750"/>
      <c r="F149" s="1750"/>
      <c r="G149" s="1750"/>
      <c r="H149" s="1750"/>
      <c r="I149" s="1750"/>
      <c r="J149" s="1750"/>
      <c r="N149" s="1964"/>
    </row>
    <row r="150" spans="1:14" x14ac:dyDescent="0.2">
      <c r="A150" s="1963"/>
      <c r="B150" s="1750"/>
      <c r="C150" s="1750"/>
      <c r="D150" s="1750"/>
      <c r="E150" s="1750"/>
      <c r="F150" s="1750"/>
      <c r="G150" s="1750"/>
      <c r="H150" s="1750"/>
      <c r="I150" s="1750"/>
      <c r="J150" s="1750"/>
      <c r="N150" s="1964"/>
    </row>
    <row r="151" spans="1:14" x14ac:dyDescent="0.2">
      <c r="A151" s="1963"/>
      <c r="B151" s="1750"/>
      <c r="C151" s="1750"/>
      <c r="D151" s="1750"/>
      <c r="E151" s="1750"/>
      <c r="F151" s="1750"/>
      <c r="G151" s="1750"/>
      <c r="H151" s="1750"/>
      <c r="I151" s="1750"/>
      <c r="J151" s="1750"/>
      <c r="N151" s="1964"/>
    </row>
    <row r="152" spans="1:14" x14ac:dyDescent="0.2">
      <c r="A152" s="1963"/>
      <c r="B152" s="1750"/>
      <c r="C152" s="1750"/>
      <c r="D152" s="1750"/>
      <c r="E152" s="1750"/>
      <c r="F152" s="1750"/>
      <c r="G152" s="1750"/>
      <c r="H152" s="1750"/>
      <c r="I152" s="1750"/>
      <c r="J152" s="1750"/>
      <c r="N152" s="1964"/>
    </row>
    <row r="153" spans="1:14" ht="12" thickBot="1" x14ac:dyDescent="0.25">
      <c r="A153" s="1965"/>
      <c r="B153" s="1966"/>
      <c r="C153" s="1966"/>
      <c r="D153" s="1966"/>
      <c r="E153" s="1966"/>
      <c r="F153" s="1966"/>
      <c r="G153" s="1966"/>
      <c r="H153" s="1966"/>
      <c r="I153" s="1966"/>
      <c r="J153" s="1966"/>
      <c r="K153" s="1966"/>
      <c r="L153" s="1966"/>
      <c r="M153" s="1967"/>
      <c r="N153" s="1968"/>
    </row>
    <row r="154" spans="1:14" x14ac:dyDescent="0.2">
      <c r="A154" s="1969"/>
      <c r="B154" s="1970"/>
      <c r="C154" s="1970"/>
      <c r="D154" s="1970"/>
      <c r="E154" s="1970"/>
      <c r="F154" s="1970"/>
      <c r="G154" s="1970"/>
      <c r="H154" s="1970"/>
      <c r="I154" s="1970"/>
      <c r="J154" s="1970"/>
      <c r="K154" s="1970"/>
      <c r="L154" s="1970"/>
      <c r="M154" s="1971"/>
      <c r="N154" s="1972"/>
    </row>
    <row r="155" spans="1:14" x14ac:dyDescent="0.2">
      <c r="A155" s="1963"/>
      <c r="B155" s="1750"/>
      <c r="C155" s="1750"/>
      <c r="D155" s="1750"/>
      <c r="E155" s="1750"/>
      <c r="F155" s="1750"/>
      <c r="G155" s="1750"/>
      <c r="H155" s="1750"/>
      <c r="I155" s="1750"/>
      <c r="J155" s="1750"/>
      <c r="N155" s="1964"/>
    </row>
    <row r="156" spans="1:14" x14ac:dyDescent="0.2">
      <c r="A156" s="1963"/>
      <c r="B156" s="1750"/>
      <c r="C156" s="1750"/>
      <c r="D156" s="1750"/>
      <c r="E156" s="1750"/>
      <c r="F156" s="1750"/>
      <c r="G156" s="1750"/>
      <c r="H156" s="1750"/>
      <c r="I156" s="1750"/>
      <c r="J156" s="1750"/>
      <c r="N156" s="1964"/>
    </row>
    <row r="157" spans="1:14" x14ac:dyDescent="0.2">
      <c r="A157" s="1963"/>
      <c r="B157" s="1750"/>
      <c r="C157" s="1750"/>
      <c r="D157" s="1750"/>
      <c r="E157" s="1750"/>
      <c r="F157" s="1750"/>
      <c r="G157" s="1750"/>
      <c r="H157" s="1750"/>
      <c r="I157" s="1750"/>
      <c r="J157" s="1750"/>
      <c r="N157" s="1964"/>
    </row>
    <row r="158" spans="1:14" x14ac:dyDescent="0.2">
      <c r="A158" s="1963"/>
      <c r="B158" s="1750"/>
      <c r="C158" s="1750"/>
      <c r="D158" s="1750"/>
      <c r="E158" s="1750"/>
      <c r="F158" s="1750"/>
      <c r="G158" s="1750"/>
      <c r="H158" s="1750"/>
      <c r="I158" s="1750"/>
      <c r="J158" s="1750"/>
      <c r="N158" s="1964"/>
    </row>
    <row r="159" spans="1:14" x14ac:dyDescent="0.2">
      <c r="A159" s="1963"/>
      <c r="B159" s="1750"/>
      <c r="C159" s="1750"/>
      <c r="D159" s="1750"/>
      <c r="E159" s="1750"/>
      <c r="F159" s="1750"/>
      <c r="G159" s="1750"/>
      <c r="H159" s="1750"/>
      <c r="I159" s="1750"/>
      <c r="J159" s="1750"/>
      <c r="N159" s="1964"/>
    </row>
    <row r="160" spans="1:14" x14ac:dyDescent="0.2">
      <c r="A160" s="1963"/>
      <c r="B160" s="1750"/>
      <c r="C160" s="1750"/>
      <c r="D160" s="1750"/>
      <c r="E160" s="1750"/>
      <c r="F160" s="1750"/>
      <c r="G160" s="1750"/>
      <c r="H160" s="1750"/>
      <c r="I160" s="1750"/>
      <c r="J160" s="1750"/>
      <c r="N160" s="1964"/>
    </row>
    <row r="161" spans="1:14" x14ac:dyDescent="0.2">
      <c r="A161" s="1963"/>
      <c r="B161" s="1750"/>
      <c r="C161" s="1750"/>
      <c r="D161" s="1750"/>
      <c r="E161" s="1750"/>
      <c r="F161" s="1750"/>
      <c r="G161" s="1750"/>
      <c r="H161" s="1750"/>
      <c r="I161" s="1750"/>
      <c r="J161" s="1750"/>
      <c r="N161" s="1964"/>
    </row>
    <row r="162" spans="1:14" ht="12" thickBot="1" x14ac:dyDescent="0.25">
      <c r="A162" s="1965"/>
      <c r="B162" s="1966"/>
      <c r="C162" s="1966"/>
      <c r="D162" s="1966"/>
      <c r="E162" s="1966"/>
      <c r="F162" s="1966"/>
      <c r="G162" s="1966"/>
      <c r="H162" s="1966"/>
      <c r="I162" s="1966"/>
      <c r="J162" s="1966"/>
      <c r="K162" s="1966"/>
      <c r="L162" s="1966"/>
      <c r="M162" s="1967"/>
      <c r="N162" s="1968"/>
    </row>
    <row r="163" spans="1:14" x14ac:dyDescent="0.2">
      <c r="E163" s="1750"/>
      <c r="F163" s="1750"/>
      <c r="G163" s="1750"/>
      <c r="H163" s="1750"/>
      <c r="I163" s="1750"/>
      <c r="J163" s="1750"/>
      <c r="N163" s="1976"/>
    </row>
    <row r="164" spans="1:14" x14ac:dyDescent="0.2">
      <c r="E164" s="1750"/>
      <c r="F164" s="1750"/>
      <c r="G164" s="1750"/>
      <c r="H164" s="1750"/>
      <c r="I164" s="1750"/>
      <c r="J164" s="1750"/>
      <c r="N164" s="1976"/>
    </row>
    <row r="165" spans="1:14" x14ac:dyDescent="0.2">
      <c r="E165" s="1750"/>
      <c r="F165" s="1750"/>
      <c r="G165" s="1750"/>
      <c r="H165" s="1750"/>
      <c r="I165" s="1750"/>
      <c r="J165" s="1750"/>
      <c r="N165" s="1976"/>
    </row>
    <row r="166" spans="1:14" x14ac:dyDescent="0.2">
      <c r="E166" s="1750"/>
      <c r="F166" s="1750"/>
      <c r="G166" s="1750"/>
      <c r="H166" s="1750"/>
      <c r="I166" s="1750"/>
      <c r="J166" s="1750"/>
      <c r="N166" s="1976"/>
    </row>
    <row r="167" spans="1:14" x14ac:dyDescent="0.2">
      <c r="E167" s="1750"/>
      <c r="F167" s="1750"/>
      <c r="G167" s="1750"/>
      <c r="H167" s="1750"/>
      <c r="I167" s="1750"/>
      <c r="J167" s="1750"/>
      <c r="N167" s="1976"/>
    </row>
    <row r="168" spans="1:14" x14ac:dyDescent="0.2">
      <c r="E168" s="1750"/>
      <c r="F168" s="1750"/>
      <c r="G168" s="1750"/>
      <c r="H168" s="1750"/>
      <c r="I168" s="1750"/>
      <c r="J168" s="1750"/>
      <c r="N168" s="1976"/>
    </row>
    <row r="169" spans="1:14" x14ac:dyDescent="0.2">
      <c r="E169" s="1750"/>
      <c r="F169" s="1750"/>
      <c r="G169" s="1750"/>
      <c r="H169" s="1750"/>
      <c r="I169" s="1750"/>
      <c r="J169" s="1750"/>
      <c r="N169" s="1976"/>
    </row>
    <row r="170" spans="1:14" x14ac:dyDescent="0.2">
      <c r="E170" s="1750"/>
      <c r="F170" s="1750"/>
      <c r="G170" s="1750"/>
      <c r="H170" s="1750"/>
      <c r="I170" s="1750"/>
      <c r="J170" s="1750"/>
      <c r="N170" s="1976"/>
    </row>
    <row r="171" spans="1:14" x14ac:dyDescent="0.2">
      <c r="E171" s="1750"/>
      <c r="F171" s="1750"/>
      <c r="G171" s="1750"/>
      <c r="H171" s="1750"/>
      <c r="I171" s="1750"/>
      <c r="J171" s="1750"/>
      <c r="N171" s="1976"/>
    </row>
    <row r="172" spans="1:14" x14ac:dyDescent="0.2">
      <c r="E172" s="1750"/>
      <c r="F172" s="1750"/>
      <c r="G172" s="1750"/>
      <c r="H172" s="1750"/>
      <c r="I172" s="1750"/>
      <c r="J172" s="1750"/>
      <c r="N172" s="1976"/>
    </row>
    <row r="173" spans="1:14" x14ac:dyDescent="0.2">
      <c r="E173" s="1750"/>
      <c r="F173" s="1750"/>
      <c r="G173" s="1750"/>
      <c r="H173" s="1750"/>
      <c r="I173" s="1750"/>
      <c r="J173" s="1750"/>
      <c r="N173" s="1976"/>
    </row>
    <row r="174" spans="1:14" x14ac:dyDescent="0.2">
      <c r="E174" s="1750"/>
      <c r="F174" s="1750"/>
      <c r="G174" s="1750"/>
      <c r="H174" s="1750"/>
      <c r="I174" s="1750"/>
      <c r="J174" s="1750"/>
      <c r="N174" s="1976"/>
    </row>
    <row r="175" spans="1:14" x14ac:dyDescent="0.2">
      <c r="E175" s="1750"/>
      <c r="F175" s="1750"/>
      <c r="G175" s="1750"/>
      <c r="H175" s="1750"/>
      <c r="I175" s="1750"/>
      <c r="J175" s="1750"/>
      <c r="N175" s="1976"/>
    </row>
    <row r="176" spans="1:14" x14ac:dyDescent="0.2">
      <c r="E176" s="1750"/>
      <c r="F176" s="1750"/>
      <c r="G176" s="1750"/>
      <c r="H176" s="1750"/>
      <c r="I176" s="1750"/>
      <c r="J176" s="1750"/>
      <c r="N176" s="1976"/>
    </row>
    <row r="177" spans="1:14" x14ac:dyDescent="0.2">
      <c r="E177" s="1750"/>
      <c r="F177" s="1750"/>
      <c r="G177" s="1750"/>
      <c r="H177" s="1750"/>
      <c r="I177" s="1750"/>
      <c r="J177" s="1750"/>
      <c r="N177" s="1976"/>
    </row>
    <row r="178" spans="1:14" x14ac:dyDescent="0.2">
      <c r="E178" s="1750"/>
      <c r="F178" s="1750"/>
      <c r="G178" s="1750"/>
      <c r="H178" s="1750"/>
      <c r="I178" s="1750"/>
      <c r="J178" s="1750"/>
      <c r="N178" s="1976"/>
    </row>
    <row r="179" spans="1:14" x14ac:dyDescent="0.2">
      <c r="E179" s="1750"/>
      <c r="F179" s="1750"/>
      <c r="G179" s="1750"/>
      <c r="H179" s="1750"/>
      <c r="I179" s="1750"/>
      <c r="J179" s="1750"/>
      <c r="N179" s="1976"/>
    </row>
    <row r="180" spans="1:14" x14ac:dyDescent="0.2">
      <c r="E180" s="1750"/>
      <c r="F180" s="1750"/>
      <c r="G180" s="1750"/>
      <c r="H180" s="1750"/>
      <c r="I180" s="1750"/>
      <c r="J180" s="1750"/>
      <c r="N180" s="1976"/>
    </row>
    <row r="181" spans="1:14" ht="12" thickBot="1" x14ac:dyDescent="0.25">
      <c r="E181" s="1750"/>
      <c r="F181" s="1750"/>
      <c r="G181" s="1750"/>
      <c r="H181" s="1750"/>
      <c r="I181" s="1750"/>
      <c r="J181" s="1750"/>
      <c r="N181" s="1976"/>
    </row>
    <row r="182" spans="1:14" x14ac:dyDescent="0.2">
      <c r="A182" s="1969"/>
      <c r="B182" s="1970"/>
      <c r="C182" s="1970"/>
      <c r="D182" s="1970"/>
      <c r="E182" s="1970"/>
      <c r="F182" s="1970"/>
      <c r="G182" s="1970"/>
      <c r="H182" s="1970"/>
      <c r="I182" s="1970"/>
      <c r="J182" s="1970"/>
      <c r="K182" s="1970"/>
      <c r="L182" s="1970"/>
      <c r="M182" s="1971"/>
      <c r="N182" s="1972"/>
    </row>
    <row r="183" spans="1:14" x14ac:dyDescent="0.2">
      <c r="A183" s="1963"/>
      <c r="B183" s="1750"/>
      <c r="C183" s="1750"/>
      <c r="D183" s="1750"/>
      <c r="E183" s="1750"/>
      <c r="F183" s="1750"/>
      <c r="G183" s="1750"/>
      <c r="H183" s="1750"/>
      <c r="I183" s="1750"/>
      <c r="J183" s="1750"/>
      <c r="N183" s="1964"/>
    </row>
    <row r="184" spans="1:14" x14ac:dyDescent="0.2">
      <c r="A184" s="1963"/>
      <c r="B184" s="1750"/>
      <c r="C184" s="1750"/>
      <c r="D184" s="1750"/>
      <c r="E184" s="1750"/>
      <c r="F184" s="1750"/>
      <c r="G184" s="1750"/>
      <c r="H184" s="1750"/>
      <c r="I184" s="1750"/>
      <c r="J184" s="1750"/>
      <c r="N184" s="1964"/>
    </row>
    <row r="185" spans="1:14" x14ac:dyDescent="0.2">
      <c r="A185" s="1963"/>
      <c r="B185" s="1750"/>
      <c r="C185" s="1750"/>
      <c r="D185" s="1750"/>
      <c r="E185" s="1750"/>
      <c r="F185" s="1750"/>
      <c r="G185" s="1750"/>
      <c r="H185" s="1750"/>
      <c r="I185" s="1750"/>
      <c r="J185" s="1750"/>
      <c r="N185" s="1964"/>
    </row>
    <row r="186" spans="1:14" x14ac:dyDescent="0.2">
      <c r="A186" s="1963"/>
      <c r="B186" s="1750"/>
      <c r="C186" s="1750"/>
      <c r="D186" s="1750"/>
      <c r="E186" s="1750"/>
      <c r="F186" s="1750"/>
      <c r="G186" s="1750"/>
      <c r="H186" s="1750"/>
      <c r="I186" s="1750"/>
      <c r="J186" s="1750"/>
      <c r="N186" s="1964"/>
    </row>
    <row r="187" spans="1:14" x14ac:dyDescent="0.2">
      <c r="A187" s="1963"/>
      <c r="B187" s="1750"/>
      <c r="C187" s="1750"/>
      <c r="D187" s="1750"/>
      <c r="E187" s="1750"/>
      <c r="F187" s="1750"/>
      <c r="G187" s="1750"/>
      <c r="H187" s="1750"/>
      <c r="I187" s="1750"/>
      <c r="J187" s="1750"/>
      <c r="N187" s="1964"/>
    </row>
    <row r="188" spans="1:14" x14ac:dyDescent="0.2">
      <c r="A188" s="1963"/>
      <c r="B188" s="1750"/>
      <c r="C188" s="1750"/>
      <c r="D188" s="1750"/>
      <c r="E188" s="1750"/>
      <c r="F188" s="1750"/>
      <c r="G188" s="1750"/>
      <c r="H188" s="1750"/>
      <c r="I188" s="1750"/>
      <c r="J188" s="1750"/>
      <c r="N188" s="1964"/>
    </row>
    <row r="189" spans="1:14" x14ac:dyDescent="0.2">
      <c r="A189" s="1963"/>
      <c r="B189" s="1750"/>
      <c r="C189" s="1750"/>
      <c r="D189" s="1750"/>
      <c r="E189" s="1750"/>
      <c r="F189" s="1750"/>
      <c r="G189" s="1750"/>
      <c r="H189" s="1750"/>
      <c r="I189" s="1750"/>
      <c r="J189" s="1750"/>
      <c r="N189" s="1964"/>
    </row>
    <row r="190" spans="1:14" ht="12" thickBot="1" x14ac:dyDescent="0.25">
      <c r="A190" s="1965"/>
      <c r="B190" s="1966"/>
      <c r="C190" s="1966"/>
      <c r="D190" s="1966"/>
      <c r="E190" s="1966"/>
      <c r="F190" s="1966"/>
      <c r="G190" s="1966"/>
      <c r="H190" s="1966"/>
      <c r="I190" s="1966"/>
      <c r="J190" s="1966"/>
      <c r="K190" s="1966"/>
      <c r="L190" s="1966"/>
      <c r="M190" s="1967"/>
      <c r="N190" s="1968"/>
    </row>
    <row r="191" spans="1:14" x14ac:dyDescent="0.2">
      <c r="E191" s="1750"/>
      <c r="F191" s="1750"/>
      <c r="G191" s="1750"/>
      <c r="H191" s="1750"/>
      <c r="I191" s="1750"/>
      <c r="J191" s="1750"/>
      <c r="N191" s="1976"/>
    </row>
    <row r="192" spans="1:14" x14ac:dyDescent="0.2">
      <c r="E192" s="1750"/>
      <c r="F192" s="1750"/>
      <c r="G192" s="1750"/>
      <c r="H192" s="1750"/>
      <c r="I192" s="1750"/>
      <c r="J192" s="1750"/>
      <c r="N192" s="1976"/>
    </row>
    <row r="193" spans="1:14" x14ac:dyDescent="0.2">
      <c r="E193" s="1750"/>
      <c r="F193" s="1750"/>
      <c r="G193" s="1750"/>
      <c r="H193" s="1750"/>
      <c r="I193" s="1750"/>
      <c r="J193" s="1750"/>
      <c r="N193" s="1976"/>
    </row>
    <row r="194" spans="1:14" x14ac:dyDescent="0.2">
      <c r="E194" s="1750"/>
      <c r="F194" s="1750"/>
      <c r="G194" s="1750"/>
      <c r="H194" s="1750"/>
      <c r="I194" s="1750"/>
      <c r="J194" s="1750"/>
      <c r="N194" s="1976"/>
    </row>
    <row r="195" spans="1:14" x14ac:dyDescent="0.2">
      <c r="E195" s="1750"/>
      <c r="F195" s="1750"/>
      <c r="G195" s="1750"/>
      <c r="H195" s="1750"/>
      <c r="I195" s="1750"/>
      <c r="J195" s="1750"/>
      <c r="N195" s="1976"/>
    </row>
    <row r="196" spans="1:14" x14ac:dyDescent="0.2">
      <c r="E196" s="1750"/>
      <c r="F196" s="1750"/>
      <c r="G196" s="1750"/>
      <c r="H196" s="1750"/>
      <c r="I196" s="1750"/>
      <c r="J196" s="1750"/>
      <c r="N196" s="1976"/>
    </row>
    <row r="197" spans="1:14" x14ac:dyDescent="0.2">
      <c r="E197" s="1750"/>
      <c r="F197" s="1750"/>
      <c r="G197" s="1750"/>
      <c r="H197" s="1750"/>
      <c r="I197" s="1750"/>
      <c r="J197" s="1750"/>
      <c r="N197" s="1976"/>
    </row>
    <row r="198" spans="1:14" x14ac:dyDescent="0.2">
      <c r="E198" s="1750"/>
      <c r="F198" s="1750"/>
      <c r="G198" s="1750"/>
      <c r="H198" s="1750"/>
      <c r="I198" s="1750"/>
      <c r="J198" s="1750"/>
      <c r="N198" s="1976"/>
    </row>
    <row r="199" spans="1:14" ht="12" thickBot="1" x14ac:dyDescent="0.25">
      <c r="E199" s="1750"/>
      <c r="F199" s="1750"/>
      <c r="G199" s="1750"/>
      <c r="H199" s="1750"/>
      <c r="I199" s="1750"/>
      <c r="J199" s="1750"/>
      <c r="N199" s="1976"/>
    </row>
    <row r="200" spans="1:14" x14ac:dyDescent="0.2">
      <c r="A200" s="1969"/>
      <c r="B200" s="1970"/>
      <c r="C200" s="1970"/>
      <c r="D200" s="1970"/>
      <c r="E200" s="1970"/>
      <c r="F200" s="1970"/>
      <c r="G200" s="1970"/>
      <c r="H200" s="1970"/>
      <c r="I200" s="1970"/>
      <c r="J200" s="1970"/>
      <c r="K200" s="1970"/>
      <c r="L200" s="1970"/>
      <c r="M200" s="1971"/>
      <c r="N200" s="1972"/>
    </row>
    <row r="201" spans="1:14" x14ac:dyDescent="0.2">
      <c r="A201" s="1963"/>
      <c r="B201" s="1750"/>
      <c r="C201" s="1750"/>
      <c r="D201" s="1750"/>
      <c r="E201" s="1750"/>
      <c r="F201" s="1750"/>
      <c r="G201" s="1750"/>
      <c r="H201" s="1750"/>
      <c r="I201" s="1750"/>
      <c r="J201" s="1750"/>
      <c r="N201" s="1964"/>
    </row>
    <row r="202" spans="1:14" x14ac:dyDescent="0.2">
      <c r="A202" s="1963"/>
      <c r="B202" s="1750"/>
      <c r="C202" s="1750"/>
      <c r="D202" s="1750"/>
      <c r="E202" s="1750"/>
      <c r="F202" s="1750"/>
      <c r="G202" s="1750"/>
      <c r="H202" s="1750"/>
      <c r="I202" s="1750"/>
      <c r="J202" s="1750"/>
      <c r="N202" s="1964"/>
    </row>
    <row r="203" spans="1:14" x14ac:dyDescent="0.2">
      <c r="A203" s="1963"/>
      <c r="B203" s="1750"/>
      <c r="C203" s="1750"/>
      <c r="D203" s="1750"/>
      <c r="E203" s="1750"/>
      <c r="F203" s="1750"/>
      <c r="G203" s="1750"/>
      <c r="H203" s="1750"/>
      <c r="I203" s="1750"/>
      <c r="J203" s="1750"/>
      <c r="N203" s="1964"/>
    </row>
    <row r="204" spans="1:14" x14ac:dyDescent="0.2">
      <c r="A204" s="1963"/>
      <c r="B204" s="1750"/>
      <c r="C204" s="1750"/>
      <c r="D204" s="1750"/>
      <c r="E204" s="1750"/>
      <c r="F204" s="1750"/>
      <c r="G204" s="1750"/>
      <c r="H204" s="1750"/>
      <c r="I204" s="1750"/>
      <c r="J204" s="1750"/>
      <c r="N204" s="1964"/>
    </row>
    <row r="205" spans="1:14" x14ac:dyDescent="0.2">
      <c r="A205" s="1963"/>
      <c r="B205" s="1750"/>
      <c r="C205" s="1750"/>
      <c r="D205" s="1750"/>
      <c r="E205" s="1750"/>
      <c r="F205" s="1750"/>
      <c r="G205" s="1750"/>
      <c r="H205" s="1750"/>
      <c r="I205" s="1750"/>
      <c r="J205" s="1750"/>
      <c r="N205" s="1964"/>
    </row>
    <row r="206" spans="1:14" x14ac:dyDescent="0.2">
      <c r="A206" s="1963"/>
      <c r="B206" s="1750"/>
      <c r="C206" s="1750"/>
      <c r="D206" s="1750"/>
      <c r="E206" s="1750"/>
      <c r="F206" s="1750"/>
      <c r="G206" s="1750"/>
      <c r="H206" s="1750"/>
      <c r="I206" s="1750"/>
      <c r="J206" s="1750"/>
      <c r="N206" s="1964"/>
    </row>
    <row r="207" spans="1:14" x14ac:dyDescent="0.2">
      <c r="A207" s="1963"/>
      <c r="B207" s="1750"/>
      <c r="C207" s="1750"/>
      <c r="D207" s="1750"/>
      <c r="E207" s="1750"/>
      <c r="F207" s="1750"/>
      <c r="G207" s="1750"/>
      <c r="H207" s="1750"/>
      <c r="I207" s="1750"/>
      <c r="J207" s="1750"/>
      <c r="N207" s="1964"/>
    </row>
    <row r="208" spans="1:14" ht="12" thickBot="1" x14ac:dyDescent="0.25">
      <c r="A208" s="1965"/>
      <c r="B208" s="1966"/>
      <c r="C208" s="1966"/>
      <c r="D208" s="1966"/>
      <c r="E208" s="1966"/>
      <c r="F208" s="1966"/>
      <c r="G208" s="1966"/>
      <c r="H208" s="1966"/>
      <c r="I208" s="1966"/>
      <c r="J208" s="1966"/>
      <c r="K208" s="1966"/>
      <c r="L208" s="1966"/>
      <c r="M208" s="1967"/>
      <c r="N208" s="1968"/>
    </row>
    <row r="209" spans="5:14" x14ac:dyDescent="0.2">
      <c r="E209" s="1750"/>
      <c r="F209" s="1750"/>
      <c r="G209" s="1750"/>
      <c r="H209" s="1750"/>
      <c r="I209" s="1750"/>
      <c r="J209" s="1750"/>
      <c r="N209" s="1976"/>
    </row>
    <row r="210" spans="5:14" x14ac:dyDescent="0.2">
      <c r="E210" s="1750"/>
      <c r="F210" s="1750"/>
      <c r="G210" s="1750"/>
      <c r="H210" s="1750"/>
      <c r="I210" s="1750"/>
      <c r="J210" s="1750"/>
      <c r="N210" s="1976"/>
    </row>
    <row r="211" spans="5:14" x14ac:dyDescent="0.2">
      <c r="E211" s="1750"/>
      <c r="F211" s="1750"/>
      <c r="G211" s="1750"/>
      <c r="H211" s="1750"/>
      <c r="I211" s="1750"/>
      <c r="J211" s="1750"/>
      <c r="N211" s="1976"/>
    </row>
    <row r="212" spans="5:14" x14ac:dyDescent="0.2">
      <c r="E212" s="1750"/>
      <c r="F212" s="1750"/>
      <c r="G212" s="1750"/>
      <c r="H212" s="1750"/>
      <c r="I212" s="1750"/>
      <c r="J212" s="1750"/>
      <c r="N212" s="1976"/>
    </row>
    <row r="213" spans="5:14" x14ac:dyDescent="0.2">
      <c r="E213" s="1750"/>
      <c r="F213" s="1750"/>
      <c r="G213" s="1750"/>
      <c r="H213" s="1750"/>
      <c r="I213" s="1750"/>
      <c r="J213" s="1750"/>
      <c r="N213" s="1976"/>
    </row>
    <row r="214" spans="5:14" x14ac:dyDescent="0.2">
      <c r="E214" s="1750"/>
      <c r="F214" s="1750"/>
      <c r="G214" s="1750"/>
      <c r="H214" s="1750"/>
      <c r="I214" s="1750"/>
      <c r="J214" s="1750"/>
      <c r="N214" s="1976"/>
    </row>
    <row r="215" spans="5:14" x14ac:dyDescent="0.2">
      <c r="E215" s="1750"/>
      <c r="F215" s="1750"/>
      <c r="G215" s="1750"/>
      <c r="H215" s="1750"/>
      <c r="I215" s="1750"/>
      <c r="J215" s="1750"/>
      <c r="N215" s="1976"/>
    </row>
    <row r="216" spans="5:14" x14ac:dyDescent="0.2">
      <c r="E216" s="1750"/>
      <c r="F216" s="1750"/>
      <c r="G216" s="1750"/>
      <c r="H216" s="1750"/>
      <c r="I216" s="1750"/>
      <c r="J216" s="1750"/>
      <c r="N216" s="1976"/>
    </row>
    <row r="217" spans="5:14" x14ac:dyDescent="0.2">
      <c r="E217" s="1750"/>
      <c r="F217" s="1750"/>
      <c r="G217" s="1750"/>
      <c r="H217" s="1750"/>
      <c r="I217" s="1750"/>
      <c r="J217" s="1750"/>
      <c r="N217" s="1976"/>
    </row>
    <row r="218" spans="5:14" x14ac:dyDescent="0.2">
      <c r="E218" s="1750"/>
      <c r="F218" s="1750"/>
      <c r="G218" s="1750"/>
      <c r="H218" s="1750"/>
      <c r="I218" s="1750"/>
      <c r="J218" s="1750"/>
      <c r="N218" s="1976"/>
    </row>
    <row r="219" spans="5:14" x14ac:dyDescent="0.2">
      <c r="E219" s="1750"/>
      <c r="F219" s="1750"/>
      <c r="G219" s="1750"/>
      <c r="H219" s="1750"/>
      <c r="I219" s="1750"/>
      <c r="J219" s="1750"/>
      <c r="N219" s="1976"/>
    </row>
    <row r="220" spans="5:14" x14ac:dyDescent="0.2">
      <c r="E220" s="1750"/>
      <c r="F220" s="1750"/>
      <c r="G220" s="1750"/>
      <c r="H220" s="1750"/>
      <c r="I220" s="1750"/>
      <c r="J220" s="1750"/>
      <c r="N220" s="1976"/>
    </row>
    <row r="221" spans="5:14" x14ac:dyDescent="0.2">
      <c r="E221" s="1750"/>
      <c r="F221" s="1750"/>
      <c r="G221" s="1750"/>
      <c r="H221" s="1750"/>
      <c r="I221" s="1750"/>
      <c r="J221" s="1750"/>
      <c r="N221" s="1976"/>
    </row>
    <row r="222" spans="5:14" x14ac:dyDescent="0.2">
      <c r="E222" s="1750"/>
      <c r="F222" s="1750"/>
      <c r="G222" s="1750"/>
      <c r="H222" s="1750"/>
      <c r="I222" s="1750"/>
      <c r="J222" s="1750"/>
      <c r="N222" s="1976"/>
    </row>
    <row r="223" spans="5:14" x14ac:dyDescent="0.2">
      <c r="E223" s="1750"/>
      <c r="F223" s="1750"/>
      <c r="G223" s="1750"/>
      <c r="H223" s="1750"/>
      <c r="I223" s="1750"/>
      <c r="J223" s="1750"/>
      <c r="N223" s="1976"/>
    </row>
    <row r="224" spans="5:14" x14ac:dyDescent="0.2">
      <c r="E224" s="1750"/>
      <c r="F224" s="1750"/>
      <c r="G224" s="1750"/>
      <c r="H224" s="1750"/>
      <c r="I224" s="1750"/>
      <c r="J224" s="1750"/>
      <c r="N224" s="1976"/>
    </row>
    <row r="225" spans="1:14" x14ac:dyDescent="0.2">
      <c r="E225" s="1750"/>
      <c r="F225" s="1750"/>
      <c r="G225" s="1750"/>
      <c r="H225" s="1750"/>
      <c r="I225" s="1750"/>
      <c r="J225" s="1750"/>
      <c r="N225" s="1976"/>
    </row>
    <row r="226" spans="1:14" x14ac:dyDescent="0.2">
      <c r="E226" s="1750"/>
      <c r="F226" s="1750"/>
      <c r="G226" s="1750"/>
      <c r="H226" s="1750"/>
      <c r="I226" s="1750"/>
      <c r="J226" s="1750"/>
      <c r="N226" s="1976"/>
    </row>
    <row r="227" spans="1:14" x14ac:dyDescent="0.2">
      <c r="E227" s="1750"/>
      <c r="F227" s="1750"/>
      <c r="G227" s="1750"/>
      <c r="H227" s="1750"/>
      <c r="I227" s="1750"/>
      <c r="J227" s="1750"/>
      <c r="N227" s="1976"/>
    </row>
    <row r="228" spans="1:14" x14ac:dyDescent="0.2">
      <c r="E228" s="1750"/>
      <c r="F228" s="1750"/>
      <c r="G228" s="1750"/>
      <c r="H228" s="1750"/>
      <c r="I228" s="1750"/>
      <c r="J228" s="1750"/>
      <c r="N228" s="1976"/>
    </row>
    <row r="229" spans="1:14" x14ac:dyDescent="0.2">
      <c r="E229" s="1750"/>
      <c r="F229" s="1750"/>
      <c r="G229" s="1750"/>
      <c r="H229" s="1750"/>
      <c r="I229" s="1750"/>
      <c r="J229" s="1750"/>
      <c r="N229" s="1976"/>
    </row>
    <row r="230" spans="1:14" x14ac:dyDescent="0.2">
      <c r="E230" s="1750"/>
      <c r="F230" s="1750"/>
      <c r="G230" s="1750"/>
      <c r="H230" s="1750"/>
      <c r="I230" s="1750"/>
      <c r="J230" s="1750"/>
      <c r="N230" s="1976"/>
    </row>
    <row r="231" spans="1:14" x14ac:dyDescent="0.2">
      <c r="E231" s="1750"/>
      <c r="F231" s="1750"/>
      <c r="G231" s="1750"/>
      <c r="H231" s="1750"/>
      <c r="I231" s="1750"/>
      <c r="J231" s="1750"/>
      <c r="N231" s="1976"/>
    </row>
    <row r="232" spans="1:14" x14ac:dyDescent="0.2">
      <c r="E232" s="1750"/>
      <c r="F232" s="1750"/>
      <c r="G232" s="1750"/>
      <c r="H232" s="1750"/>
      <c r="I232" s="1750"/>
      <c r="J232" s="1750"/>
      <c r="N232" s="1976"/>
    </row>
    <row r="233" spans="1:14" x14ac:dyDescent="0.2">
      <c r="E233" s="1750"/>
      <c r="F233" s="1750"/>
      <c r="G233" s="1750"/>
      <c r="H233" s="1750"/>
      <c r="I233" s="1750"/>
      <c r="J233" s="1750"/>
      <c r="N233" s="1976"/>
    </row>
    <row r="234" spans="1:14" x14ac:dyDescent="0.2">
      <c r="E234" s="1750"/>
      <c r="F234" s="1750"/>
      <c r="G234" s="1750"/>
      <c r="H234" s="1750"/>
      <c r="I234" s="1750"/>
      <c r="J234" s="1750"/>
      <c r="N234" s="1976"/>
    </row>
    <row r="235" spans="1:14" ht="12" thickBot="1" x14ac:dyDescent="0.25">
      <c r="E235" s="1750"/>
      <c r="F235" s="1750"/>
      <c r="G235" s="1750"/>
      <c r="H235" s="1750"/>
      <c r="I235" s="1750"/>
      <c r="J235" s="1750"/>
      <c r="N235" s="1976"/>
    </row>
    <row r="236" spans="1:14" x14ac:dyDescent="0.2">
      <c r="A236" s="1969"/>
      <c r="B236" s="1970"/>
      <c r="C236" s="1970"/>
      <c r="D236" s="1970"/>
      <c r="E236" s="1970"/>
      <c r="F236" s="1970"/>
      <c r="G236" s="1970"/>
      <c r="H236" s="1970"/>
      <c r="I236" s="1970"/>
      <c r="J236" s="1970"/>
      <c r="K236" s="1970"/>
      <c r="L236" s="1970"/>
      <c r="M236" s="1971"/>
      <c r="N236" s="1972"/>
    </row>
    <row r="237" spans="1:14" x14ac:dyDescent="0.2">
      <c r="A237" s="1963"/>
      <c r="B237" s="1750"/>
      <c r="C237" s="1750"/>
      <c r="D237" s="1750"/>
      <c r="E237" s="1750"/>
      <c r="F237" s="1750"/>
      <c r="G237" s="1750"/>
      <c r="H237" s="1750"/>
      <c r="I237" s="1750"/>
      <c r="J237" s="1750"/>
      <c r="N237" s="1964"/>
    </row>
    <row r="238" spans="1:14" x14ac:dyDescent="0.2">
      <c r="A238" s="1963"/>
      <c r="B238" s="1750"/>
      <c r="C238" s="1750"/>
      <c r="D238" s="1750"/>
      <c r="E238" s="1750"/>
      <c r="F238" s="1750"/>
      <c r="G238" s="1750"/>
      <c r="H238" s="1750"/>
      <c r="I238" s="1750"/>
      <c r="J238" s="1750"/>
      <c r="N238" s="1964"/>
    </row>
    <row r="239" spans="1:14" x14ac:dyDescent="0.2">
      <c r="A239" s="1963"/>
      <c r="B239" s="1750"/>
      <c r="C239" s="1750"/>
      <c r="D239" s="1750"/>
      <c r="E239" s="1750"/>
      <c r="F239" s="1750"/>
      <c r="G239" s="1750"/>
      <c r="H239" s="1750"/>
      <c r="I239" s="1750"/>
      <c r="J239" s="1750"/>
      <c r="N239" s="1964"/>
    </row>
    <row r="240" spans="1:14" x14ac:dyDescent="0.2">
      <c r="A240" s="1963"/>
      <c r="B240" s="1750"/>
      <c r="C240" s="1750"/>
      <c r="D240" s="1750"/>
      <c r="E240" s="1750"/>
      <c r="F240" s="1750"/>
      <c r="G240" s="1750"/>
      <c r="H240" s="1750"/>
      <c r="I240" s="1750"/>
      <c r="J240" s="1750"/>
      <c r="N240" s="1964"/>
    </row>
    <row r="241" spans="1:14" x14ac:dyDescent="0.2">
      <c r="A241" s="1963"/>
      <c r="B241" s="1750"/>
      <c r="C241" s="1750"/>
      <c r="D241" s="1750"/>
      <c r="E241" s="1750"/>
      <c r="F241" s="1750"/>
      <c r="G241" s="1750"/>
      <c r="H241" s="1750"/>
      <c r="I241" s="1750"/>
      <c r="J241" s="1750"/>
      <c r="N241" s="1964"/>
    </row>
    <row r="242" spans="1:14" x14ac:dyDescent="0.2">
      <c r="A242" s="1963"/>
      <c r="B242" s="1750"/>
      <c r="C242" s="1750"/>
      <c r="D242" s="1750"/>
      <c r="E242" s="1750"/>
      <c r="F242" s="1750"/>
      <c r="G242" s="1750"/>
      <c r="H242" s="1750"/>
      <c r="I242" s="1750"/>
      <c r="J242" s="1750"/>
      <c r="N242" s="1964"/>
    </row>
    <row r="243" spans="1:14" x14ac:dyDescent="0.2">
      <c r="A243" s="1963"/>
      <c r="B243" s="1750"/>
      <c r="C243" s="1750"/>
      <c r="D243" s="1750"/>
      <c r="E243" s="1750"/>
      <c r="F243" s="1750"/>
      <c r="G243" s="1750"/>
      <c r="H243" s="1750"/>
      <c r="I243" s="1750"/>
      <c r="J243" s="1750"/>
      <c r="N243" s="1964"/>
    </row>
    <row r="244" spans="1:14" x14ac:dyDescent="0.2">
      <c r="A244" s="1963"/>
      <c r="B244" s="1750"/>
      <c r="C244" s="1750"/>
      <c r="D244" s="1750"/>
      <c r="E244" s="1750"/>
      <c r="F244" s="1750"/>
      <c r="G244" s="1750"/>
      <c r="H244" s="1750"/>
      <c r="I244" s="1750"/>
      <c r="J244" s="1750"/>
      <c r="N244" s="1964"/>
    </row>
    <row r="245" spans="1:14" x14ac:dyDescent="0.2">
      <c r="A245" s="1963"/>
      <c r="B245" s="1750"/>
      <c r="C245" s="1750"/>
      <c r="D245" s="1750"/>
      <c r="E245" s="1750"/>
      <c r="F245" s="1750"/>
      <c r="G245" s="1750"/>
      <c r="H245" s="1750"/>
      <c r="I245" s="1750"/>
      <c r="J245" s="1750"/>
      <c r="N245" s="1964"/>
    </row>
    <row r="246" spans="1:14" x14ac:dyDescent="0.2">
      <c r="A246" s="1963"/>
      <c r="B246" s="1750"/>
      <c r="C246" s="1750"/>
      <c r="D246" s="1750"/>
      <c r="E246" s="1750"/>
      <c r="F246" s="1750"/>
      <c r="G246" s="1750"/>
      <c r="H246" s="1750"/>
      <c r="I246" s="1750"/>
      <c r="J246" s="1750"/>
      <c r="N246" s="1964"/>
    </row>
    <row r="247" spans="1:14" x14ac:dyDescent="0.2">
      <c r="A247" s="1963"/>
      <c r="B247" s="1750"/>
      <c r="C247" s="1750"/>
      <c r="D247" s="1750"/>
      <c r="E247" s="1750"/>
      <c r="F247" s="1750"/>
      <c r="G247" s="1750"/>
      <c r="H247" s="1750"/>
      <c r="I247" s="1750"/>
      <c r="J247" s="1750"/>
      <c r="N247" s="1964"/>
    </row>
    <row r="248" spans="1:14" x14ac:dyDescent="0.2">
      <c r="A248" s="1963"/>
      <c r="B248" s="1750"/>
      <c r="C248" s="1750"/>
      <c r="D248" s="1750"/>
      <c r="E248" s="1750"/>
      <c r="F248" s="1750"/>
      <c r="G248" s="1750"/>
      <c r="H248" s="1750"/>
      <c r="I248" s="1750"/>
      <c r="J248" s="1750"/>
      <c r="N248" s="1964"/>
    </row>
    <row r="249" spans="1:14" ht="12" thickBot="1" x14ac:dyDescent="0.25">
      <c r="A249" s="1965"/>
      <c r="B249" s="1966"/>
      <c r="C249" s="1966"/>
      <c r="D249" s="1966"/>
      <c r="E249" s="1966"/>
      <c r="F249" s="1966"/>
      <c r="G249" s="1966"/>
      <c r="H249" s="1966"/>
      <c r="I249" s="1966"/>
      <c r="J249" s="1966"/>
      <c r="K249" s="1966"/>
      <c r="L249" s="1966"/>
      <c r="M249" s="1967"/>
      <c r="N249" s="1968"/>
    </row>
    <row r="250" spans="1:14" x14ac:dyDescent="0.2">
      <c r="A250" s="1969"/>
      <c r="B250" s="1970"/>
      <c r="C250" s="1970"/>
      <c r="D250" s="1970"/>
      <c r="E250" s="1970"/>
      <c r="F250" s="1970"/>
      <c r="G250" s="1970"/>
      <c r="H250" s="1970"/>
      <c r="I250" s="1970"/>
      <c r="J250" s="1970"/>
      <c r="K250" s="1970"/>
      <c r="L250" s="1970"/>
      <c r="M250" s="1971"/>
      <c r="N250" s="1972"/>
    </row>
    <row r="251" spans="1:14" x14ac:dyDescent="0.2">
      <c r="A251" s="1963"/>
      <c r="B251" s="1750"/>
      <c r="C251" s="1750"/>
      <c r="D251" s="1750"/>
      <c r="E251" s="1750"/>
      <c r="F251" s="1750"/>
      <c r="G251" s="1750"/>
      <c r="H251" s="1750"/>
      <c r="I251" s="1750"/>
      <c r="J251" s="1750"/>
      <c r="N251" s="1964"/>
    </row>
    <row r="252" spans="1:14" x14ac:dyDescent="0.2">
      <c r="A252" s="1963"/>
      <c r="B252" s="1750"/>
      <c r="C252" s="1750"/>
      <c r="D252" s="1750"/>
      <c r="E252" s="1750"/>
      <c r="F252" s="1750"/>
      <c r="G252" s="1750"/>
      <c r="H252" s="1750"/>
      <c r="I252" s="1750"/>
      <c r="J252" s="1750"/>
      <c r="N252" s="1964"/>
    </row>
    <row r="253" spans="1:14" x14ac:dyDescent="0.2">
      <c r="A253" s="1963"/>
      <c r="B253" s="1750"/>
      <c r="C253" s="1750"/>
      <c r="D253" s="1750"/>
      <c r="E253" s="1750"/>
      <c r="F253" s="1750"/>
      <c r="G253" s="1750"/>
      <c r="H253" s="1750"/>
      <c r="I253" s="1750"/>
      <c r="J253" s="1750"/>
      <c r="N253" s="1964"/>
    </row>
    <row r="254" spans="1:14" x14ac:dyDescent="0.2">
      <c r="A254" s="1963"/>
      <c r="B254" s="1750"/>
      <c r="C254" s="1750"/>
      <c r="D254" s="1750"/>
      <c r="E254" s="1750"/>
      <c r="F254" s="1750"/>
      <c r="G254" s="1750"/>
      <c r="H254" s="1750"/>
      <c r="I254" s="1750"/>
      <c r="J254" s="1750"/>
      <c r="N254" s="1964"/>
    </row>
    <row r="255" spans="1:14" x14ac:dyDescent="0.2">
      <c r="A255" s="1963"/>
      <c r="B255" s="1750"/>
      <c r="C255" s="1750"/>
      <c r="D255" s="1750"/>
      <c r="E255" s="1750"/>
      <c r="F255" s="1750"/>
      <c r="G255" s="1750"/>
      <c r="H255" s="1750"/>
      <c r="I255" s="1750"/>
      <c r="J255" s="1750"/>
      <c r="N255" s="1964"/>
    </row>
    <row r="256" spans="1:14" x14ac:dyDescent="0.2">
      <c r="A256" s="1963"/>
      <c r="B256" s="1750"/>
      <c r="C256" s="1750"/>
      <c r="D256" s="1750"/>
      <c r="E256" s="1750"/>
      <c r="F256" s="1750"/>
      <c r="G256" s="1750"/>
      <c r="H256" s="1750"/>
      <c r="I256" s="1750"/>
      <c r="J256" s="1750"/>
      <c r="N256" s="1964"/>
    </row>
    <row r="257" spans="1:14" x14ac:dyDescent="0.2">
      <c r="A257" s="1963"/>
      <c r="B257" s="1750"/>
      <c r="C257" s="1750"/>
      <c r="D257" s="1750"/>
      <c r="E257" s="1750"/>
      <c r="F257" s="1750"/>
      <c r="G257" s="1750"/>
      <c r="H257" s="1750"/>
      <c r="I257" s="1750"/>
      <c r="J257" s="1750"/>
      <c r="N257" s="1964"/>
    </row>
    <row r="258" spans="1:14" x14ac:dyDescent="0.2">
      <c r="A258" s="1963"/>
      <c r="B258" s="1750"/>
      <c r="C258" s="1750"/>
      <c r="D258" s="1750"/>
      <c r="E258" s="1750"/>
      <c r="F258" s="1750"/>
      <c r="G258" s="1750"/>
      <c r="H258" s="1750"/>
      <c r="I258" s="1750"/>
      <c r="J258" s="1750"/>
      <c r="N258" s="1964"/>
    </row>
    <row r="259" spans="1:14" x14ac:dyDescent="0.2">
      <c r="A259" s="1963"/>
      <c r="B259" s="1750"/>
      <c r="C259" s="1750"/>
      <c r="D259" s="1750"/>
      <c r="E259" s="1750"/>
      <c r="F259" s="1750"/>
      <c r="G259" s="1750"/>
      <c r="H259" s="1750"/>
      <c r="I259" s="1750"/>
      <c r="J259" s="1750"/>
      <c r="N259" s="1964"/>
    </row>
    <row r="260" spans="1:14" x14ac:dyDescent="0.2">
      <c r="A260" s="1963"/>
      <c r="B260" s="1750"/>
      <c r="C260" s="1750"/>
      <c r="D260" s="1750"/>
      <c r="E260" s="1750"/>
      <c r="F260" s="1750"/>
      <c r="G260" s="1750"/>
      <c r="H260" s="1750"/>
      <c r="I260" s="1750"/>
      <c r="J260" s="1750"/>
      <c r="N260" s="1964"/>
    </row>
    <row r="261" spans="1:14" x14ac:dyDescent="0.2">
      <c r="A261" s="1963"/>
      <c r="B261" s="1750"/>
      <c r="C261" s="1750"/>
      <c r="D261" s="1750"/>
      <c r="E261" s="1750"/>
      <c r="F261" s="1750"/>
      <c r="G261" s="1750"/>
      <c r="H261" s="1750"/>
      <c r="I261" s="1750"/>
      <c r="J261" s="1750"/>
      <c r="N261" s="1964"/>
    </row>
    <row r="262" spans="1:14" x14ac:dyDescent="0.2">
      <c r="A262" s="1963"/>
      <c r="B262" s="1750"/>
      <c r="C262" s="1750"/>
      <c r="D262" s="1750"/>
      <c r="E262" s="1750"/>
      <c r="F262" s="1750"/>
      <c r="G262" s="1750"/>
      <c r="H262" s="1750"/>
      <c r="I262" s="1750"/>
      <c r="J262" s="1750"/>
      <c r="N262" s="1964"/>
    </row>
    <row r="263" spans="1:14" ht="12" thickBot="1" x14ac:dyDescent="0.25">
      <c r="A263" s="1965"/>
      <c r="B263" s="1966"/>
      <c r="C263" s="1966"/>
      <c r="D263" s="1966"/>
      <c r="E263" s="1966"/>
      <c r="F263" s="1966"/>
      <c r="G263" s="1966"/>
      <c r="H263" s="1966"/>
      <c r="I263" s="1966"/>
      <c r="J263" s="1966"/>
      <c r="K263" s="1966"/>
      <c r="L263" s="1966"/>
      <c r="M263" s="1967"/>
      <c r="N263" s="1968"/>
    </row>
    <row r="264" spans="1:14" x14ac:dyDescent="0.2">
      <c r="E264" s="1750"/>
      <c r="F264" s="1750"/>
      <c r="G264" s="1750"/>
      <c r="H264" s="1750"/>
      <c r="I264" s="1750"/>
      <c r="J264" s="1750"/>
      <c r="N264" s="1976"/>
    </row>
    <row r="265" spans="1:14" x14ac:dyDescent="0.2">
      <c r="E265" s="1750"/>
      <c r="F265" s="1750"/>
      <c r="G265" s="1750"/>
      <c r="H265" s="1750"/>
      <c r="I265" s="1750"/>
      <c r="J265" s="1750"/>
      <c r="N265" s="1976"/>
    </row>
    <row r="266" spans="1:14" x14ac:dyDescent="0.2">
      <c r="E266" s="1750"/>
      <c r="F266" s="1750"/>
      <c r="G266" s="1750"/>
      <c r="H266" s="1750"/>
      <c r="I266" s="1750"/>
      <c r="J266" s="1750"/>
      <c r="N266" s="1976"/>
    </row>
    <row r="267" spans="1:14" x14ac:dyDescent="0.2">
      <c r="E267" s="1750"/>
      <c r="F267" s="1750"/>
      <c r="G267" s="1750"/>
      <c r="H267" s="1750"/>
      <c r="I267" s="1750"/>
      <c r="J267" s="1750"/>
      <c r="N267" s="1976"/>
    </row>
    <row r="268" spans="1:14" x14ac:dyDescent="0.2">
      <c r="E268" s="1750"/>
      <c r="F268" s="1750"/>
      <c r="G268" s="1750"/>
      <c r="H268" s="1750"/>
      <c r="I268" s="1750"/>
      <c r="J268" s="1750"/>
      <c r="N268" s="1976"/>
    </row>
    <row r="269" spans="1:14" x14ac:dyDescent="0.2">
      <c r="E269" s="1750"/>
      <c r="F269" s="1750"/>
      <c r="G269" s="1750"/>
      <c r="H269" s="1750"/>
      <c r="I269" s="1750"/>
      <c r="J269" s="1750"/>
      <c r="N269" s="1976"/>
    </row>
    <row r="270" spans="1:14" x14ac:dyDescent="0.2">
      <c r="E270" s="1750"/>
      <c r="F270" s="1750"/>
      <c r="G270" s="1750"/>
      <c r="H270" s="1750"/>
      <c r="I270" s="1750"/>
      <c r="J270" s="1750"/>
      <c r="N270" s="1976"/>
    </row>
    <row r="271" spans="1:14" x14ac:dyDescent="0.2">
      <c r="E271" s="1750"/>
      <c r="F271" s="1750"/>
      <c r="G271" s="1750"/>
      <c r="H271" s="1750"/>
      <c r="I271" s="1750"/>
      <c r="J271" s="1750"/>
      <c r="N271" s="1976"/>
    </row>
    <row r="272" spans="1:14" ht="12" thickBot="1" x14ac:dyDescent="0.25">
      <c r="E272" s="1750"/>
      <c r="F272" s="1750"/>
      <c r="G272" s="1750"/>
      <c r="H272" s="1750"/>
      <c r="I272" s="1750"/>
      <c r="J272" s="1750"/>
      <c r="N272" s="1976"/>
    </row>
    <row r="273" spans="1:14" x14ac:dyDescent="0.2">
      <c r="A273" s="1969"/>
      <c r="B273" s="1970"/>
      <c r="C273" s="1970"/>
      <c r="D273" s="1970"/>
      <c r="E273" s="1970"/>
      <c r="F273" s="1970"/>
      <c r="G273" s="1970"/>
      <c r="H273" s="1970"/>
      <c r="I273" s="1970"/>
      <c r="J273" s="1970"/>
      <c r="K273" s="1970"/>
      <c r="L273" s="1970"/>
      <c r="M273" s="1971"/>
      <c r="N273" s="1972"/>
    </row>
    <row r="274" spans="1:14" x14ac:dyDescent="0.2">
      <c r="A274" s="1963"/>
      <c r="B274" s="1750"/>
      <c r="C274" s="1750"/>
      <c r="D274" s="1750"/>
      <c r="E274" s="1750"/>
      <c r="F274" s="1750"/>
      <c r="G274" s="1750"/>
      <c r="H274" s="1750"/>
      <c r="I274" s="1750"/>
      <c r="J274" s="1750"/>
      <c r="N274" s="1964"/>
    </row>
    <row r="275" spans="1:14" x14ac:dyDescent="0.2">
      <c r="A275" s="1963"/>
      <c r="B275" s="1750"/>
      <c r="C275" s="1750"/>
      <c r="D275" s="1750"/>
      <c r="E275" s="1750"/>
      <c r="F275" s="1750"/>
      <c r="G275" s="1750"/>
      <c r="H275" s="1750"/>
      <c r="I275" s="1750"/>
      <c r="J275" s="1750"/>
      <c r="N275" s="1964"/>
    </row>
    <row r="276" spans="1:14" x14ac:dyDescent="0.2">
      <c r="A276" s="1963"/>
      <c r="B276" s="1750"/>
      <c r="C276" s="1750"/>
      <c r="D276" s="1750"/>
      <c r="E276" s="1750"/>
      <c r="F276" s="1750"/>
      <c r="G276" s="1750"/>
      <c r="H276" s="1750"/>
      <c r="I276" s="1750"/>
      <c r="J276" s="1750"/>
      <c r="N276" s="1964"/>
    </row>
    <row r="277" spans="1:14" x14ac:dyDescent="0.2">
      <c r="A277" s="1963"/>
      <c r="B277" s="1750"/>
      <c r="C277" s="1750"/>
      <c r="D277" s="1750"/>
      <c r="E277" s="1750"/>
      <c r="F277" s="1750"/>
      <c r="G277" s="1750"/>
      <c r="H277" s="1750"/>
      <c r="I277" s="1750"/>
      <c r="J277" s="1750"/>
      <c r="N277" s="1964"/>
    </row>
    <row r="278" spans="1:14" x14ac:dyDescent="0.2">
      <c r="A278" s="1963"/>
      <c r="B278" s="1750"/>
      <c r="C278" s="1750"/>
      <c r="D278" s="1750"/>
      <c r="E278" s="1750"/>
      <c r="F278" s="1750"/>
      <c r="G278" s="1750"/>
      <c r="H278" s="1750"/>
      <c r="I278" s="1750"/>
      <c r="J278" s="1750"/>
      <c r="N278" s="1964"/>
    </row>
    <row r="279" spans="1:14" x14ac:dyDescent="0.2">
      <c r="A279" s="1963"/>
      <c r="B279" s="1750"/>
      <c r="C279" s="1750"/>
      <c r="D279" s="1750"/>
      <c r="E279" s="1750"/>
      <c r="F279" s="1750"/>
      <c r="G279" s="1750"/>
      <c r="H279" s="1750"/>
      <c r="I279" s="1750"/>
      <c r="J279" s="1750"/>
      <c r="N279" s="1964"/>
    </row>
    <row r="280" spans="1:14" x14ac:dyDescent="0.2">
      <c r="A280" s="1963"/>
      <c r="B280" s="1750"/>
      <c r="C280" s="1750"/>
      <c r="D280" s="1750"/>
      <c r="E280" s="1750"/>
      <c r="F280" s="1750"/>
      <c r="G280" s="1750"/>
      <c r="H280" s="1750"/>
      <c r="I280" s="1750"/>
      <c r="J280" s="1750"/>
      <c r="N280" s="1964"/>
    </row>
    <row r="281" spans="1:14" ht="12" thickBot="1" x14ac:dyDescent="0.25">
      <c r="A281" s="1965"/>
      <c r="B281" s="1966"/>
      <c r="C281" s="1966"/>
      <c r="D281" s="1966"/>
      <c r="E281" s="1966"/>
      <c r="F281" s="1966"/>
      <c r="G281" s="1966"/>
      <c r="H281" s="1966"/>
      <c r="I281" s="1966"/>
      <c r="J281" s="1966"/>
      <c r="K281" s="1966"/>
      <c r="L281" s="1966"/>
      <c r="M281" s="1967"/>
      <c r="N281" s="1968"/>
    </row>
    <row r="282" spans="1:14" x14ac:dyDescent="0.2">
      <c r="E282" s="1750"/>
      <c r="F282" s="1750"/>
      <c r="G282" s="1750"/>
      <c r="H282" s="1750"/>
      <c r="I282" s="1750"/>
      <c r="J282" s="1750"/>
      <c r="N282" s="1976"/>
    </row>
    <row r="283" spans="1:14" x14ac:dyDescent="0.2">
      <c r="E283" s="1750"/>
      <c r="F283" s="1750"/>
      <c r="G283" s="1750"/>
      <c r="H283" s="1750"/>
      <c r="I283" s="1750"/>
      <c r="J283" s="1750"/>
      <c r="N283" s="1976"/>
    </row>
    <row r="284" spans="1:14" x14ac:dyDescent="0.2">
      <c r="E284" s="1750"/>
      <c r="F284" s="1750"/>
      <c r="G284" s="1750"/>
      <c r="H284" s="1750"/>
      <c r="I284" s="1750"/>
      <c r="J284" s="1750"/>
      <c r="N284" s="1976"/>
    </row>
    <row r="285" spans="1:14" x14ac:dyDescent="0.2">
      <c r="E285" s="1750"/>
      <c r="F285" s="1750"/>
      <c r="G285" s="1750"/>
      <c r="H285" s="1750"/>
      <c r="I285" s="1750"/>
      <c r="J285" s="1750"/>
      <c r="N285" s="1976"/>
    </row>
    <row r="286" spans="1:14" x14ac:dyDescent="0.2">
      <c r="E286" s="1750"/>
      <c r="F286" s="1750"/>
      <c r="G286" s="1750"/>
      <c r="H286" s="1750"/>
      <c r="I286" s="1750"/>
      <c r="J286" s="1750"/>
      <c r="N286" s="1976"/>
    </row>
    <row r="287" spans="1:14" x14ac:dyDescent="0.2">
      <c r="E287" s="1750"/>
      <c r="F287" s="1750"/>
      <c r="G287" s="1750"/>
      <c r="H287" s="1750"/>
      <c r="I287" s="1750"/>
      <c r="J287" s="1750"/>
      <c r="N287" s="1976"/>
    </row>
    <row r="288" spans="1:14" x14ac:dyDescent="0.2">
      <c r="E288" s="1750"/>
      <c r="F288" s="1750"/>
      <c r="G288" s="1750"/>
      <c r="H288" s="1750"/>
      <c r="I288" s="1750"/>
      <c r="J288" s="1750"/>
      <c r="N288" s="1976"/>
    </row>
    <row r="289" spans="5:14" x14ac:dyDescent="0.2">
      <c r="E289" s="1750"/>
      <c r="F289" s="1750"/>
      <c r="G289" s="1750"/>
      <c r="H289" s="1750"/>
      <c r="I289" s="1750"/>
      <c r="J289" s="1750"/>
      <c r="N289" s="1976"/>
    </row>
    <row r="290" spans="5:14" x14ac:dyDescent="0.2">
      <c r="E290" s="1750"/>
      <c r="F290" s="1750"/>
      <c r="G290" s="1750"/>
      <c r="H290" s="1750"/>
      <c r="I290" s="1750"/>
      <c r="J290" s="1750"/>
      <c r="N290" s="1976"/>
    </row>
    <row r="291" spans="5:14" x14ac:dyDescent="0.2">
      <c r="E291" s="1750"/>
      <c r="F291" s="1750"/>
      <c r="G291" s="1750"/>
      <c r="H291" s="1750"/>
      <c r="I291" s="1750"/>
      <c r="J291" s="1750"/>
      <c r="N291" s="1976"/>
    </row>
    <row r="292" spans="5:14" x14ac:dyDescent="0.2">
      <c r="E292" s="1750"/>
      <c r="F292" s="1750"/>
      <c r="G292" s="1750"/>
      <c r="H292" s="1750"/>
      <c r="I292" s="1750"/>
      <c r="J292" s="1750"/>
      <c r="N292" s="1976"/>
    </row>
    <row r="293" spans="5:14" x14ac:dyDescent="0.2">
      <c r="E293" s="1750"/>
      <c r="F293" s="1750"/>
      <c r="G293" s="1750"/>
      <c r="H293" s="1750"/>
      <c r="I293" s="1750"/>
      <c r="J293" s="1750"/>
      <c r="N293" s="1976"/>
    </row>
    <row r="294" spans="5:14" x14ac:dyDescent="0.2">
      <c r="E294" s="1750"/>
      <c r="F294" s="1750"/>
      <c r="G294" s="1750"/>
      <c r="H294" s="1750"/>
      <c r="I294" s="1750"/>
      <c r="J294" s="1750"/>
      <c r="N294" s="1976"/>
    </row>
    <row r="295" spans="5:14" x14ac:dyDescent="0.2">
      <c r="E295" s="1750"/>
      <c r="F295" s="1750"/>
      <c r="G295" s="1750"/>
      <c r="H295" s="1750"/>
      <c r="I295" s="1750"/>
      <c r="J295" s="1750"/>
      <c r="N295" s="1976"/>
    </row>
    <row r="296" spans="5:14" x14ac:dyDescent="0.2">
      <c r="E296" s="1750"/>
      <c r="F296" s="1750"/>
      <c r="G296" s="1750"/>
      <c r="H296" s="1750"/>
      <c r="I296" s="1750"/>
      <c r="J296" s="1750"/>
      <c r="N296" s="1976"/>
    </row>
    <row r="297" spans="5:14" x14ac:dyDescent="0.2">
      <c r="E297" s="1750"/>
      <c r="F297" s="1750"/>
      <c r="G297" s="1750"/>
      <c r="H297" s="1750"/>
      <c r="I297" s="1750"/>
      <c r="J297" s="1750"/>
      <c r="N297" s="1976"/>
    </row>
    <row r="298" spans="5:14" x14ac:dyDescent="0.2">
      <c r="E298" s="1750"/>
      <c r="F298" s="1750"/>
      <c r="G298" s="1750"/>
      <c r="H298" s="1750"/>
      <c r="I298" s="1750"/>
      <c r="J298" s="1750"/>
      <c r="N298" s="1976"/>
    </row>
    <row r="299" spans="5:14" x14ac:dyDescent="0.2">
      <c r="E299" s="1750"/>
      <c r="F299" s="1750"/>
      <c r="G299" s="1750"/>
      <c r="H299" s="1750"/>
      <c r="I299" s="1750"/>
      <c r="J299" s="1750"/>
      <c r="N299" s="1976"/>
    </row>
    <row r="300" spans="5:14" x14ac:dyDescent="0.2">
      <c r="E300" s="1750"/>
      <c r="F300" s="1750"/>
      <c r="G300" s="1750"/>
      <c r="H300" s="1750"/>
      <c r="I300" s="1750"/>
      <c r="J300" s="1750"/>
      <c r="N300" s="1976"/>
    </row>
    <row r="301" spans="5:14" x14ac:dyDescent="0.2">
      <c r="E301" s="1750"/>
      <c r="F301" s="1750"/>
      <c r="G301" s="1750"/>
      <c r="H301" s="1750"/>
      <c r="I301" s="1750"/>
      <c r="J301" s="1750"/>
      <c r="N301" s="1976"/>
    </row>
    <row r="302" spans="5:14" x14ac:dyDescent="0.2">
      <c r="E302" s="1750"/>
      <c r="F302" s="1750"/>
      <c r="G302" s="1750"/>
      <c r="H302" s="1750"/>
      <c r="I302" s="1750"/>
      <c r="J302" s="1750"/>
      <c r="N302" s="1976"/>
    </row>
    <row r="303" spans="5:14" x14ac:dyDescent="0.2">
      <c r="E303" s="1750"/>
      <c r="F303" s="1750"/>
      <c r="G303" s="1750"/>
      <c r="H303" s="1750"/>
      <c r="I303" s="1750"/>
      <c r="J303" s="1750"/>
      <c r="N303" s="1976"/>
    </row>
    <row r="304" spans="5:14" x14ac:dyDescent="0.2">
      <c r="E304" s="1750"/>
      <c r="F304" s="1750"/>
      <c r="G304" s="1750"/>
      <c r="H304" s="1750"/>
      <c r="I304" s="1750"/>
      <c r="J304" s="1750"/>
      <c r="N304" s="1976"/>
    </row>
    <row r="305" spans="5:14" x14ac:dyDescent="0.2">
      <c r="E305" s="1750"/>
      <c r="F305" s="1750"/>
      <c r="G305" s="1750"/>
      <c r="H305" s="1750"/>
      <c r="I305" s="1750"/>
      <c r="J305" s="1750"/>
      <c r="N305" s="1976"/>
    </row>
    <row r="306" spans="5:14" x14ac:dyDescent="0.2">
      <c r="E306" s="1750"/>
      <c r="F306" s="1750"/>
      <c r="G306" s="1750"/>
      <c r="H306" s="1750"/>
      <c r="I306" s="1750"/>
      <c r="J306" s="1750"/>
      <c r="N306" s="1976"/>
    </row>
    <row r="307" spans="5:14" x14ac:dyDescent="0.2">
      <c r="E307" s="1750"/>
      <c r="F307" s="1750"/>
      <c r="G307" s="1750"/>
      <c r="H307" s="1750"/>
      <c r="I307" s="1750"/>
      <c r="J307" s="1750"/>
      <c r="N307" s="1976"/>
    </row>
    <row r="308" spans="5:14" x14ac:dyDescent="0.2">
      <c r="E308" s="1750"/>
      <c r="F308" s="1750"/>
      <c r="G308" s="1750"/>
      <c r="H308" s="1750"/>
      <c r="I308" s="1750"/>
      <c r="J308" s="1750"/>
      <c r="N308" s="1976"/>
    </row>
    <row r="309" spans="5:14" x14ac:dyDescent="0.2">
      <c r="E309" s="1750"/>
      <c r="F309" s="1750"/>
      <c r="G309" s="1750"/>
      <c r="H309" s="1750"/>
      <c r="I309" s="1750"/>
      <c r="J309" s="1750"/>
      <c r="N309" s="1976"/>
    </row>
    <row r="310" spans="5:14" x14ac:dyDescent="0.2">
      <c r="E310" s="1750"/>
      <c r="F310" s="1750"/>
      <c r="G310" s="1750"/>
      <c r="H310" s="1750"/>
      <c r="I310" s="1750"/>
      <c r="J310" s="1750"/>
      <c r="N310" s="1976"/>
    </row>
    <row r="311" spans="5:14" x14ac:dyDescent="0.2">
      <c r="E311" s="1750"/>
      <c r="F311" s="1750"/>
      <c r="G311" s="1750"/>
      <c r="H311" s="1750"/>
      <c r="I311" s="1750"/>
      <c r="J311" s="1750"/>
      <c r="N311" s="1976"/>
    </row>
    <row r="312" spans="5:14" x14ac:dyDescent="0.2">
      <c r="E312" s="1750"/>
      <c r="F312" s="1750"/>
      <c r="G312" s="1750"/>
      <c r="H312" s="1750"/>
      <c r="I312" s="1750"/>
      <c r="J312" s="1750"/>
      <c r="N312" s="1976"/>
    </row>
    <row r="313" spans="5:14" x14ac:dyDescent="0.2">
      <c r="E313" s="1750"/>
      <c r="F313" s="1750"/>
      <c r="G313" s="1750"/>
      <c r="H313" s="1750"/>
      <c r="I313" s="1750"/>
      <c r="J313" s="1750"/>
      <c r="N313" s="1976"/>
    </row>
    <row r="314" spans="5:14" x14ac:dyDescent="0.2">
      <c r="E314" s="1750"/>
      <c r="F314" s="1750"/>
      <c r="G314" s="1750"/>
      <c r="H314" s="1750"/>
      <c r="I314" s="1750"/>
      <c r="J314" s="1750"/>
      <c r="N314" s="1976"/>
    </row>
    <row r="315" spans="5:14" x14ac:dyDescent="0.2">
      <c r="E315" s="1750"/>
      <c r="F315" s="1750"/>
      <c r="G315" s="1750"/>
      <c r="H315" s="1750"/>
      <c r="I315" s="1750"/>
      <c r="J315" s="1750"/>
      <c r="N315" s="1976"/>
    </row>
    <row r="316" spans="5:14" x14ac:dyDescent="0.2">
      <c r="E316" s="1750"/>
      <c r="F316" s="1750"/>
      <c r="G316" s="1750"/>
      <c r="H316" s="1750"/>
      <c r="I316" s="1750"/>
      <c r="J316" s="1750"/>
      <c r="N316" s="1976"/>
    </row>
    <row r="317" spans="5:14" x14ac:dyDescent="0.2">
      <c r="E317" s="1750"/>
      <c r="F317" s="1750"/>
      <c r="G317" s="1750"/>
      <c r="H317" s="1750"/>
      <c r="I317" s="1750"/>
      <c r="J317" s="1750"/>
      <c r="N317" s="1976"/>
    </row>
    <row r="318" spans="5:14" x14ac:dyDescent="0.2">
      <c r="E318" s="1750"/>
      <c r="F318" s="1750"/>
      <c r="G318" s="1750"/>
      <c r="H318" s="1750"/>
      <c r="I318" s="1750"/>
      <c r="J318" s="1750"/>
      <c r="N318" s="1976"/>
    </row>
    <row r="319" spans="5:14" x14ac:dyDescent="0.2">
      <c r="E319" s="1750"/>
      <c r="F319" s="1750"/>
      <c r="G319" s="1750"/>
      <c r="H319" s="1750"/>
      <c r="I319" s="1750"/>
      <c r="J319" s="1750"/>
      <c r="N319" s="1976"/>
    </row>
    <row r="320" spans="5:14" x14ac:dyDescent="0.2">
      <c r="E320" s="1750"/>
      <c r="F320" s="1750"/>
      <c r="G320" s="1750"/>
      <c r="H320" s="1750"/>
      <c r="I320" s="1750"/>
      <c r="J320" s="1750"/>
      <c r="N320" s="1976"/>
    </row>
    <row r="321" spans="5:14" x14ac:dyDescent="0.2">
      <c r="E321" s="1750"/>
      <c r="F321" s="1750"/>
      <c r="G321" s="1750"/>
      <c r="H321" s="1750"/>
      <c r="I321" s="1750"/>
      <c r="J321" s="1750"/>
      <c r="N321" s="1976"/>
    </row>
    <row r="322" spans="5:14" x14ac:dyDescent="0.2">
      <c r="E322" s="1750"/>
      <c r="F322" s="1746">
        <v>415162</v>
      </c>
      <c r="G322" s="1750"/>
      <c r="H322" s="1750"/>
      <c r="I322" s="1750"/>
      <c r="J322" s="1750"/>
      <c r="N322" s="1976"/>
    </row>
    <row r="323" spans="5:14" x14ac:dyDescent="0.2">
      <c r="E323" s="1750"/>
      <c r="F323" s="1750"/>
      <c r="G323" s="1750"/>
      <c r="H323" s="1750"/>
      <c r="I323" s="1750"/>
      <c r="J323" s="1750"/>
      <c r="N323" s="1976"/>
    </row>
    <row r="324" spans="5:14" x14ac:dyDescent="0.2">
      <c r="E324" s="1750"/>
      <c r="F324" s="1750"/>
      <c r="G324" s="1750"/>
      <c r="H324" s="1750"/>
      <c r="I324" s="1750"/>
      <c r="J324" s="1750"/>
      <c r="N324" s="1976"/>
    </row>
    <row r="325" spans="5:14" x14ac:dyDescent="0.2">
      <c r="E325" s="1750"/>
      <c r="F325" s="1750"/>
      <c r="G325" s="1750"/>
      <c r="H325" s="1750"/>
      <c r="I325" s="1750"/>
      <c r="J325" s="1750"/>
      <c r="N325" s="1976"/>
    </row>
    <row r="326" spans="5:14" x14ac:dyDescent="0.2">
      <c r="E326" s="1750"/>
      <c r="F326" s="1750"/>
      <c r="G326" s="1750"/>
      <c r="H326" s="1750"/>
      <c r="I326" s="1750"/>
      <c r="J326" s="1750"/>
      <c r="N326" s="1976"/>
    </row>
    <row r="327" spans="5:14" x14ac:dyDescent="0.2">
      <c r="E327" s="1750"/>
      <c r="F327" s="1750"/>
      <c r="G327" s="1750"/>
      <c r="H327" s="1750"/>
      <c r="I327" s="1750"/>
      <c r="J327" s="1750"/>
      <c r="N327" s="1976"/>
    </row>
    <row r="328" spans="5:14" x14ac:dyDescent="0.2">
      <c r="E328" s="1750"/>
      <c r="F328" s="1750"/>
      <c r="G328" s="1750"/>
      <c r="H328" s="1750"/>
      <c r="I328" s="1750"/>
      <c r="J328" s="1750"/>
      <c r="N328" s="1976"/>
    </row>
    <row r="329" spans="5:14" x14ac:dyDescent="0.2">
      <c r="E329" s="1750"/>
      <c r="F329" s="1750"/>
      <c r="G329" s="1750"/>
      <c r="H329" s="1750"/>
      <c r="I329" s="1750"/>
      <c r="J329" s="1750"/>
      <c r="N329" s="1976"/>
    </row>
    <row r="330" spans="5:14" x14ac:dyDescent="0.2">
      <c r="E330" s="1750"/>
      <c r="F330" s="1750"/>
      <c r="G330" s="1750"/>
      <c r="H330" s="1750"/>
      <c r="I330" s="1750"/>
      <c r="J330" s="1750"/>
      <c r="N330" s="1976"/>
    </row>
    <row r="331" spans="5:14" x14ac:dyDescent="0.2">
      <c r="E331" s="1750"/>
      <c r="F331" s="1750"/>
      <c r="G331" s="1750"/>
      <c r="H331" s="1750"/>
      <c r="I331" s="1750"/>
      <c r="J331" s="1750"/>
      <c r="N331" s="1976"/>
    </row>
    <row r="332" spans="5:14" x14ac:dyDescent="0.2">
      <c r="E332" s="1750"/>
      <c r="F332" s="1750"/>
      <c r="G332" s="1750"/>
      <c r="H332" s="1750"/>
      <c r="I332" s="1750"/>
      <c r="J332" s="1750"/>
      <c r="N332" s="1976"/>
    </row>
    <row r="333" spans="5:14" x14ac:dyDescent="0.2">
      <c r="E333" s="1750"/>
      <c r="F333" s="1750"/>
      <c r="G333" s="1750"/>
      <c r="H333" s="1750"/>
      <c r="I333" s="1750"/>
      <c r="J333" s="1750"/>
      <c r="N333" s="1976"/>
    </row>
    <row r="334" spans="5:14" x14ac:dyDescent="0.2">
      <c r="E334" s="1750"/>
      <c r="F334" s="1750"/>
      <c r="G334" s="1750"/>
      <c r="H334" s="1750"/>
      <c r="I334" s="1750"/>
      <c r="J334" s="1750"/>
      <c r="N334" s="1976"/>
    </row>
    <row r="335" spans="5:14" x14ac:dyDescent="0.2">
      <c r="E335" s="1750"/>
      <c r="F335" s="1750"/>
      <c r="G335" s="1750"/>
      <c r="H335" s="1750"/>
      <c r="I335" s="1750"/>
      <c r="J335" s="1750"/>
      <c r="N335" s="1976"/>
    </row>
    <row r="336" spans="5:14" x14ac:dyDescent="0.2">
      <c r="E336" s="1750"/>
      <c r="F336" s="1750"/>
      <c r="G336" s="1750"/>
      <c r="H336" s="1750"/>
      <c r="I336" s="1750"/>
      <c r="J336" s="1750"/>
      <c r="N336" s="1976"/>
    </row>
    <row r="337" spans="5:14" x14ac:dyDescent="0.2">
      <c r="E337" s="1750"/>
      <c r="F337" s="1750"/>
      <c r="G337" s="1750"/>
      <c r="H337" s="1750"/>
      <c r="I337" s="1750"/>
      <c r="J337" s="1750"/>
      <c r="N337" s="1976"/>
    </row>
    <row r="338" spans="5:14" x14ac:dyDescent="0.2">
      <c r="E338" s="1750"/>
      <c r="F338" s="1750"/>
      <c r="G338" s="1750"/>
      <c r="H338" s="1750"/>
      <c r="I338" s="1750"/>
      <c r="J338" s="1750"/>
      <c r="N338" s="1976"/>
    </row>
    <row r="339" spans="5:14" x14ac:dyDescent="0.2">
      <c r="E339" s="1750"/>
      <c r="F339" s="1750"/>
      <c r="G339" s="1750"/>
      <c r="H339" s="1750"/>
      <c r="I339" s="1750"/>
      <c r="J339" s="1750"/>
      <c r="N339" s="1976"/>
    </row>
    <row r="340" spans="5:14" x14ac:dyDescent="0.2">
      <c r="E340" s="1750"/>
      <c r="F340" s="1750"/>
      <c r="G340" s="1750"/>
      <c r="H340" s="1750"/>
      <c r="I340" s="1750"/>
      <c r="J340" s="1750"/>
      <c r="N340" s="1976"/>
    </row>
    <row r="341" spans="5:14" x14ac:dyDescent="0.2">
      <c r="E341" s="1750"/>
      <c r="F341" s="1750"/>
      <c r="G341" s="1750"/>
      <c r="H341" s="1750"/>
      <c r="I341" s="1750"/>
      <c r="J341" s="1750"/>
      <c r="N341" s="1976"/>
    </row>
    <row r="342" spans="5:14" x14ac:dyDescent="0.2">
      <c r="E342" s="1750"/>
      <c r="F342" s="1750"/>
      <c r="G342" s="1750"/>
      <c r="H342" s="1750"/>
      <c r="I342" s="1750"/>
      <c r="J342" s="1750"/>
      <c r="N342" s="1976"/>
    </row>
    <row r="343" spans="5:14" x14ac:dyDescent="0.2">
      <c r="E343" s="1750"/>
      <c r="F343" s="1750"/>
      <c r="G343" s="1750"/>
      <c r="H343" s="1750"/>
      <c r="I343" s="1750"/>
      <c r="J343" s="1750"/>
      <c r="N343" s="1976"/>
    </row>
    <row r="354" spans="1:14" ht="12" thickBot="1" x14ac:dyDescent="0.25"/>
    <row r="355" spans="1:14" x14ac:dyDescent="0.2">
      <c r="A355" s="1969"/>
      <c r="B355" s="1970"/>
      <c r="C355" s="1970"/>
      <c r="D355" s="1970"/>
      <c r="E355" s="1970"/>
      <c r="F355" s="1970"/>
      <c r="G355" s="1970"/>
      <c r="H355" s="1970"/>
      <c r="I355" s="1970"/>
      <c r="J355" s="1978"/>
      <c r="K355" s="1970"/>
      <c r="L355" s="1970"/>
      <c r="M355" s="1971"/>
      <c r="N355" s="1972"/>
    </row>
    <row r="356" spans="1:14" x14ac:dyDescent="0.2">
      <c r="A356" s="1963"/>
      <c r="B356" s="1750"/>
      <c r="C356" s="1750"/>
      <c r="D356" s="1750"/>
      <c r="E356" s="1750"/>
      <c r="F356" s="1750"/>
      <c r="G356" s="1750"/>
      <c r="H356" s="1750"/>
      <c r="I356" s="1750"/>
      <c r="N356" s="1964"/>
    </row>
    <row r="357" spans="1:14" x14ac:dyDescent="0.2">
      <c r="A357" s="1963"/>
      <c r="B357" s="1750"/>
      <c r="C357" s="1750"/>
      <c r="D357" s="1750"/>
      <c r="E357" s="1750"/>
      <c r="F357" s="1750"/>
      <c r="G357" s="1750"/>
      <c r="H357" s="1750"/>
      <c r="I357" s="1750"/>
      <c r="N357" s="1964"/>
    </row>
    <row r="358" spans="1:14" x14ac:dyDescent="0.2">
      <c r="A358" s="1963"/>
      <c r="B358" s="1750"/>
      <c r="C358" s="1750"/>
      <c r="D358" s="1750"/>
      <c r="E358" s="1750"/>
      <c r="F358" s="1750"/>
      <c r="G358" s="1750"/>
      <c r="H358" s="1750"/>
      <c r="I358" s="1750"/>
      <c r="N358" s="1964"/>
    </row>
    <row r="359" spans="1:14" x14ac:dyDescent="0.2">
      <c r="A359" s="1963"/>
      <c r="B359" s="1750"/>
      <c r="C359" s="1750"/>
      <c r="D359" s="1750"/>
      <c r="E359" s="1750"/>
      <c r="F359" s="1750"/>
      <c r="G359" s="1750"/>
      <c r="H359" s="1750"/>
      <c r="I359" s="1750"/>
      <c r="N359" s="1964"/>
    </row>
    <row r="360" spans="1:14" x14ac:dyDescent="0.2">
      <c r="A360" s="1963"/>
      <c r="B360" s="1750"/>
      <c r="C360" s="1750"/>
      <c r="D360" s="1750"/>
      <c r="E360" s="1750"/>
      <c r="F360" s="1750"/>
      <c r="G360" s="1750"/>
      <c r="H360" s="1750"/>
      <c r="I360" s="1750"/>
      <c r="N360" s="1964"/>
    </row>
    <row r="361" spans="1:14" x14ac:dyDescent="0.2">
      <c r="A361" s="1963"/>
      <c r="B361" s="1750"/>
      <c r="C361" s="1750"/>
      <c r="D361" s="1750"/>
      <c r="E361" s="1750"/>
      <c r="F361" s="1750"/>
      <c r="G361" s="1750"/>
      <c r="H361" s="1750"/>
      <c r="I361" s="1750"/>
      <c r="N361" s="1964"/>
    </row>
    <row r="362" spans="1:14" ht="12" thickBot="1" x14ac:dyDescent="0.25">
      <c r="A362" s="1965"/>
      <c r="B362" s="1966"/>
      <c r="C362" s="1966"/>
      <c r="D362" s="1966"/>
      <c r="E362" s="1966"/>
      <c r="F362" s="1966"/>
      <c r="G362" s="1966"/>
      <c r="H362" s="1966"/>
      <c r="I362" s="1966"/>
      <c r="J362" s="1979"/>
      <c r="K362" s="1966"/>
      <c r="L362" s="1966"/>
      <c r="M362" s="1967"/>
      <c r="N362" s="1968"/>
    </row>
    <row r="363" spans="1:14" x14ac:dyDescent="0.2">
      <c r="A363" s="1969"/>
      <c r="B363" s="1970"/>
      <c r="C363" s="1970"/>
      <c r="D363" s="1970"/>
      <c r="E363" s="1970"/>
      <c r="F363" s="1970"/>
      <c r="G363" s="1970"/>
      <c r="H363" s="1970"/>
      <c r="I363" s="1970"/>
      <c r="J363" s="1978"/>
      <c r="K363" s="1970"/>
      <c r="L363" s="1970"/>
      <c r="M363" s="1971"/>
      <c r="N363" s="1972"/>
    </row>
    <row r="364" spans="1:14" x14ac:dyDescent="0.2">
      <c r="A364" s="1963"/>
      <c r="B364" s="1750"/>
      <c r="C364" s="1750"/>
      <c r="D364" s="1750"/>
      <c r="E364" s="1750"/>
      <c r="F364" s="1750"/>
      <c r="G364" s="1750"/>
      <c r="H364" s="1750"/>
      <c r="I364" s="1750"/>
      <c r="N364" s="1964"/>
    </row>
    <row r="365" spans="1:14" x14ac:dyDescent="0.2">
      <c r="A365" s="1963"/>
      <c r="B365" s="1750"/>
      <c r="C365" s="1750"/>
      <c r="D365" s="1750"/>
      <c r="E365" s="1750"/>
      <c r="F365" s="1750"/>
      <c r="G365" s="1750"/>
      <c r="H365" s="1750"/>
      <c r="I365" s="1750"/>
      <c r="N365" s="1964"/>
    </row>
    <row r="366" spans="1:14" ht="12" thickBot="1" x14ac:dyDescent="0.25">
      <c r="A366" s="1965"/>
      <c r="B366" s="1966"/>
      <c r="C366" s="1966"/>
      <c r="D366" s="1966"/>
      <c r="E366" s="1966"/>
      <c r="F366" s="1966"/>
      <c r="G366" s="1966"/>
      <c r="H366" s="1966"/>
      <c r="I366" s="1966"/>
      <c r="J366" s="1979"/>
      <c r="K366" s="1966"/>
      <c r="L366" s="1966"/>
      <c r="M366" s="1967"/>
      <c r="N366" s="1968"/>
    </row>
  </sheetData>
  <mergeCells count="56">
    <mergeCell ref="A48:A50"/>
    <mergeCell ref="A9:B9"/>
    <mergeCell ref="A81:A84"/>
    <mergeCell ref="C82:C84"/>
    <mergeCell ref="N81:N84"/>
    <mergeCell ref="M76:M80"/>
    <mergeCell ref="M59:M63"/>
    <mergeCell ref="N51:N63"/>
    <mergeCell ref="A68:A80"/>
    <mergeCell ref="N68:N80"/>
    <mergeCell ref="C52:C57"/>
    <mergeCell ref="C62:C63"/>
    <mergeCell ref="A51:A63"/>
    <mergeCell ref="A64:A67"/>
    <mergeCell ref="C76:C78"/>
    <mergeCell ref="N64:N67"/>
    <mergeCell ref="L7:L8"/>
    <mergeCell ref="A47:N47"/>
    <mergeCell ref="A13:A20"/>
    <mergeCell ref="N13:N20"/>
    <mergeCell ref="C14:C17"/>
    <mergeCell ref="C19:C20"/>
    <mergeCell ref="A21:A29"/>
    <mergeCell ref="N21:N29"/>
    <mergeCell ref="C23:C26"/>
    <mergeCell ref="C28:C29"/>
    <mergeCell ref="A30:A38"/>
    <mergeCell ref="N30:N38"/>
    <mergeCell ref="A39:A45"/>
    <mergeCell ref="N39:N45"/>
    <mergeCell ref="C70:C74"/>
    <mergeCell ref="C79:C80"/>
    <mergeCell ref="G6:H6"/>
    <mergeCell ref="C32:C35"/>
    <mergeCell ref="C37:C38"/>
    <mergeCell ref="G7:G8"/>
    <mergeCell ref="H7:H8"/>
    <mergeCell ref="C66:C67"/>
    <mergeCell ref="C41:C42"/>
    <mergeCell ref="C44:C45"/>
    <mergeCell ref="I5:L5"/>
    <mergeCell ref="K6:L6"/>
    <mergeCell ref="K1:L1"/>
    <mergeCell ref="A4:N4"/>
    <mergeCell ref="A5:A8"/>
    <mergeCell ref="B5:B8"/>
    <mergeCell ref="C5:C8"/>
    <mergeCell ref="D5:H5"/>
    <mergeCell ref="D6:D8"/>
    <mergeCell ref="E6:E8"/>
    <mergeCell ref="F6:F8"/>
    <mergeCell ref="I6:I8"/>
    <mergeCell ref="K7:K8"/>
    <mergeCell ref="M7:M8"/>
    <mergeCell ref="N5:N8"/>
    <mergeCell ref="J6:J8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55" orientation="portrait" useFirstPageNumber="1" r:id="rId1"/>
  <headerFooter alignWithMargins="0">
    <oddHeader>&amp;C&amp;"Arial,Kursywa"Informacja o wykonaniu budżetu Województwa Zachodniopomorskiego za I kwartał 2014 roku
______________________________________________________________________________________________________________________</oddHeader>
    <oddFooter>&amp;C&amp;8&amp;P</oddFooter>
  </headerFooter>
  <rowBreaks count="1" manualBreakCount="1">
    <brk id="6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BN347"/>
  <sheetViews>
    <sheetView showGridLines="0" view="pageBreakPreview" zoomScale="95" zoomScaleNormal="100" zoomScaleSheetLayoutView="95" workbookViewId="0">
      <selection activeCell="A2" sqref="A2"/>
    </sheetView>
  </sheetViews>
  <sheetFormatPr defaultRowHeight="12.75" x14ac:dyDescent="0.2"/>
  <cols>
    <col min="1" max="1" width="3.42578125" style="1744" customWidth="1"/>
    <col min="2" max="2" width="50" style="1425" customWidth="1"/>
    <col min="3" max="3" width="11.42578125" style="1426" customWidth="1"/>
    <col min="4" max="4" width="12.7109375" style="1425" customWidth="1"/>
    <col min="5" max="5" width="13.140625" style="1425" hidden="1" customWidth="1"/>
    <col min="6" max="6" width="13.28515625" style="1425" hidden="1" customWidth="1"/>
    <col min="7" max="7" width="12.85546875" style="1425" customWidth="1"/>
    <col min="8" max="8" width="12.42578125" style="1425" customWidth="1"/>
    <col min="9" max="9" width="13.85546875" style="1425" customWidth="1"/>
    <col min="10" max="10" width="9.5703125" style="1425" customWidth="1"/>
    <col min="11" max="11" width="12.42578125" style="1425" customWidth="1"/>
    <col min="12" max="12" width="10.7109375" style="1425" customWidth="1"/>
    <col min="13" max="13" width="13" style="1425" hidden="1" customWidth="1"/>
    <col min="14" max="14" width="12.85546875" style="1981" customWidth="1"/>
    <col min="15" max="15" width="15.140625" style="1425" customWidth="1"/>
    <col min="16" max="18" width="10.140625" style="1425" bestFit="1" customWidth="1"/>
    <col min="19" max="16384" width="9.140625" style="1425"/>
  </cols>
  <sheetData>
    <row r="1" spans="1:66" ht="19.5" customHeight="1" x14ac:dyDescent="0.3">
      <c r="E1" s="1980"/>
      <c r="I1" s="28"/>
      <c r="J1" s="28"/>
      <c r="K1" s="3066" t="s">
        <v>383</v>
      </c>
      <c r="L1" s="3066"/>
    </row>
    <row r="2" spans="1:66" ht="7.5" customHeight="1" x14ac:dyDescent="0.2">
      <c r="D2" s="1980"/>
      <c r="I2" s="1226"/>
      <c r="N2" s="1227"/>
    </row>
    <row r="3" spans="1:66" ht="5.25" customHeight="1" thickBot="1" x14ac:dyDescent="0.25">
      <c r="D3" s="1980"/>
      <c r="I3" s="1226"/>
      <c r="N3" s="1227"/>
    </row>
    <row r="4" spans="1:66" s="1982" customFormat="1" ht="44.25" customHeight="1" thickBot="1" x14ac:dyDescent="0.35">
      <c r="A4" s="3510" t="s">
        <v>205</v>
      </c>
      <c r="B4" s="3340"/>
      <c r="C4" s="3340"/>
      <c r="D4" s="3340"/>
      <c r="E4" s="3340"/>
      <c r="F4" s="3340"/>
      <c r="G4" s="3340"/>
      <c r="H4" s="3340"/>
      <c r="I4" s="3340"/>
      <c r="J4" s="3340"/>
      <c r="K4" s="3340"/>
      <c r="L4" s="3340"/>
      <c r="M4" s="3340"/>
      <c r="N4" s="3341"/>
    </row>
    <row r="5" spans="1:66" s="252" customFormat="1" ht="38.25" customHeight="1" x14ac:dyDescent="0.2">
      <c r="A5" s="3511" t="s">
        <v>24</v>
      </c>
      <c r="B5" s="3514" t="s">
        <v>25</v>
      </c>
      <c r="C5" s="3517" t="s">
        <v>134</v>
      </c>
      <c r="D5" s="3026" t="s">
        <v>356</v>
      </c>
      <c r="E5" s="3027"/>
      <c r="F5" s="3027"/>
      <c r="G5" s="3027"/>
      <c r="H5" s="3028"/>
      <c r="I5" s="3026" t="s">
        <v>351</v>
      </c>
      <c r="J5" s="3027"/>
      <c r="K5" s="3027"/>
      <c r="L5" s="3262"/>
      <c r="M5" s="591"/>
      <c r="N5" s="3346" t="s">
        <v>27</v>
      </c>
    </row>
    <row r="6" spans="1:66" s="610" customFormat="1" ht="24.75" customHeight="1" x14ac:dyDescent="0.2">
      <c r="A6" s="3512"/>
      <c r="B6" s="3515"/>
      <c r="C6" s="3518"/>
      <c r="D6" s="3031" t="s">
        <v>0</v>
      </c>
      <c r="E6" s="3072" t="s">
        <v>360</v>
      </c>
      <c r="F6" s="3075" t="s">
        <v>361</v>
      </c>
      <c r="G6" s="3029" t="s">
        <v>257</v>
      </c>
      <c r="H6" s="3030"/>
      <c r="I6" s="3235" t="s">
        <v>350</v>
      </c>
      <c r="J6" s="3259" t="s">
        <v>300</v>
      </c>
      <c r="K6" s="3069" t="s">
        <v>357</v>
      </c>
      <c r="L6" s="3225"/>
      <c r="M6" s="592"/>
      <c r="N6" s="3347"/>
    </row>
    <row r="7" spans="1:66" s="610" customFormat="1" ht="27" customHeight="1" x14ac:dyDescent="0.2">
      <c r="A7" s="3512"/>
      <c r="B7" s="3515"/>
      <c r="C7" s="3518"/>
      <c r="D7" s="3032"/>
      <c r="E7" s="3073"/>
      <c r="F7" s="3076"/>
      <c r="G7" s="3059" t="s">
        <v>349</v>
      </c>
      <c r="H7" s="3061" t="s">
        <v>355</v>
      </c>
      <c r="I7" s="3236"/>
      <c r="J7" s="3260"/>
      <c r="K7" s="3078" t="s">
        <v>359</v>
      </c>
      <c r="L7" s="3239" t="s">
        <v>301</v>
      </c>
      <c r="M7" s="3241" t="s">
        <v>302</v>
      </c>
      <c r="N7" s="3347"/>
    </row>
    <row r="8" spans="1:66" s="610" customFormat="1" ht="72" customHeight="1" thickBot="1" x14ac:dyDescent="0.25">
      <c r="A8" s="3513"/>
      <c r="B8" s="3516"/>
      <c r="C8" s="3519"/>
      <c r="D8" s="3243"/>
      <c r="E8" s="3244"/>
      <c r="F8" s="3345"/>
      <c r="G8" s="3274"/>
      <c r="H8" s="3275"/>
      <c r="I8" s="3237"/>
      <c r="J8" s="3261"/>
      <c r="K8" s="3238"/>
      <c r="L8" s="3240"/>
      <c r="M8" s="3242"/>
      <c r="N8" s="3348"/>
      <c r="O8" s="1983"/>
    </row>
    <row r="9" spans="1:66" s="1990" customFormat="1" ht="15" customHeight="1" thickBot="1" x14ac:dyDescent="0.25">
      <c r="A9" s="3546">
        <v>1</v>
      </c>
      <c r="B9" s="3457"/>
      <c r="C9" s="1984">
        <v>2</v>
      </c>
      <c r="D9" s="1985">
        <v>3</v>
      </c>
      <c r="E9" s="1986"/>
      <c r="F9" s="1986"/>
      <c r="G9" s="1986">
        <v>4</v>
      </c>
      <c r="H9" s="1987">
        <v>5</v>
      </c>
      <c r="I9" s="1754">
        <v>6</v>
      </c>
      <c r="J9" s="1988">
        <v>7</v>
      </c>
      <c r="K9" s="1988">
        <v>8</v>
      </c>
      <c r="L9" s="1989">
        <v>9</v>
      </c>
      <c r="M9" s="1988">
        <v>10</v>
      </c>
      <c r="N9" s="1758">
        <v>10</v>
      </c>
    </row>
    <row r="10" spans="1:66" s="621" customFormat="1" ht="18" customHeight="1" thickBot="1" x14ac:dyDescent="0.25">
      <c r="A10" s="1991"/>
      <c r="B10" s="600" t="s">
        <v>162</v>
      </c>
      <c r="C10" s="601"/>
      <c r="D10" s="1992">
        <f t="shared" ref="D10:H10" si="0">D11+D12</f>
        <v>163542810</v>
      </c>
      <c r="E10" s="604">
        <f t="shared" si="0"/>
        <v>75344102</v>
      </c>
      <c r="F10" s="604">
        <f t="shared" si="0"/>
        <v>27508251</v>
      </c>
      <c r="G10" s="604">
        <f t="shared" si="0"/>
        <v>26946293</v>
      </c>
      <c r="H10" s="604">
        <f t="shared" si="0"/>
        <v>33744164</v>
      </c>
      <c r="I10" s="602">
        <f t="shared" ref="I10" si="1">I11+I12</f>
        <v>107431568</v>
      </c>
      <c r="J10" s="607">
        <f t="shared" ref="J10:J23" si="2">I10/D10*100</f>
        <v>65.690181060237379</v>
      </c>
      <c r="K10" s="605">
        <f>K11+K12</f>
        <v>4830502</v>
      </c>
      <c r="L10" s="607">
        <f t="shared" ref="L10:L23" si="3">K10/G10*100</f>
        <v>17.926406426293962</v>
      </c>
      <c r="M10" s="603">
        <f t="shared" ref="M10:M23" si="4">+K10-G10</f>
        <v>-22115791</v>
      </c>
      <c r="N10" s="1993"/>
      <c r="O10" s="1843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0"/>
      <c r="AI10" s="620"/>
      <c r="AJ10" s="620"/>
      <c r="AK10" s="620"/>
      <c r="AL10" s="620"/>
      <c r="AM10" s="620"/>
      <c r="AN10" s="620"/>
      <c r="AO10" s="620"/>
      <c r="AP10" s="620"/>
      <c r="AQ10" s="620"/>
      <c r="AR10" s="620"/>
      <c r="AS10" s="620"/>
      <c r="AT10" s="620"/>
      <c r="AU10" s="620"/>
      <c r="AV10" s="620"/>
      <c r="AW10" s="620"/>
      <c r="AX10" s="620"/>
      <c r="AY10" s="620"/>
      <c r="AZ10" s="620"/>
      <c r="BA10" s="620"/>
      <c r="BB10" s="620"/>
      <c r="BC10" s="620"/>
      <c r="BD10" s="620"/>
      <c r="BE10" s="620"/>
      <c r="BF10" s="620"/>
      <c r="BG10" s="620"/>
      <c r="BH10" s="620"/>
      <c r="BI10" s="620"/>
      <c r="BJ10" s="620"/>
      <c r="BK10" s="620"/>
      <c r="BL10" s="620"/>
      <c r="BM10" s="620"/>
      <c r="BN10" s="620"/>
    </row>
    <row r="11" spans="1:66" s="621" customFormat="1" ht="15.75" customHeight="1" thickTop="1" x14ac:dyDescent="0.2">
      <c r="A11" s="1994"/>
      <c r="B11" s="613" t="s">
        <v>163</v>
      </c>
      <c r="C11" s="614"/>
      <c r="D11" s="1995">
        <f>D25+D47+D69+D83</f>
        <v>137940097</v>
      </c>
      <c r="E11" s="1996">
        <f t="shared" ref="E11:H11" si="5">E25+E47+E69+E83</f>
        <v>68428686</v>
      </c>
      <c r="F11" s="1996">
        <f t="shared" si="5"/>
        <v>20094071</v>
      </c>
      <c r="G11" s="1996">
        <f t="shared" si="5"/>
        <v>26144993</v>
      </c>
      <c r="H11" s="1996">
        <f t="shared" si="5"/>
        <v>23272347</v>
      </c>
      <c r="I11" s="39">
        <f t="shared" ref="I11" si="6">I25+I47+I69+I83</f>
        <v>93380836</v>
      </c>
      <c r="J11" s="1092">
        <f t="shared" si="2"/>
        <v>67.696658209541496</v>
      </c>
      <c r="K11" s="617">
        <f>K25+K47+K69+K83</f>
        <v>4810507</v>
      </c>
      <c r="L11" s="1092">
        <f t="shared" si="3"/>
        <v>18.39934323179968</v>
      </c>
      <c r="M11" s="40">
        <f t="shared" si="4"/>
        <v>-21334486</v>
      </c>
      <c r="N11" s="1993"/>
      <c r="O11" s="619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620"/>
      <c r="AM11" s="620"/>
      <c r="AN11" s="620"/>
      <c r="AO11" s="620"/>
      <c r="AP11" s="620"/>
      <c r="AQ11" s="620"/>
      <c r="AR11" s="620"/>
      <c r="AS11" s="620"/>
      <c r="AT11" s="620"/>
      <c r="AU11" s="620"/>
      <c r="AV11" s="620"/>
      <c r="AW11" s="620"/>
      <c r="AX11" s="620"/>
      <c r="AY11" s="620"/>
      <c r="AZ11" s="620"/>
      <c r="BA11" s="620"/>
      <c r="BB11" s="620"/>
      <c r="BC11" s="620"/>
      <c r="BD11" s="620"/>
      <c r="BE11" s="620"/>
      <c r="BF11" s="620"/>
      <c r="BG11" s="620"/>
      <c r="BH11" s="620"/>
      <c r="BI11" s="620"/>
      <c r="BJ11" s="620"/>
      <c r="BK11" s="620"/>
      <c r="BL11" s="620"/>
      <c r="BM11" s="620"/>
      <c r="BN11" s="620"/>
    </row>
    <row r="12" spans="1:66" s="621" customFormat="1" ht="15.75" customHeight="1" thickBot="1" x14ac:dyDescent="0.25">
      <c r="A12" s="1994"/>
      <c r="B12" s="1997" t="s">
        <v>164</v>
      </c>
      <c r="C12" s="1998"/>
      <c r="D12" s="1999">
        <f>D36+D58+D76+D94</f>
        <v>25602713</v>
      </c>
      <c r="E12" s="2000">
        <f t="shared" ref="E12:H12" si="7">E36+E58+E76+E94</f>
        <v>6915416</v>
      </c>
      <c r="F12" s="2000">
        <f t="shared" si="7"/>
        <v>7414180</v>
      </c>
      <c r="G12" s="2000">
        <f t="shared" si="7"/>
        <v>801300</v>
      </c>
      <c r="H12" s="2000">
        <f t="shared" si="7"/>
        <v>10471817</v>
      </c>
      <c r="I12" s="432">
        <f t="shared" ref="I12" si="8">I36+I58+I76+I94</f>
        <v>14050732</v>
      </c>
      <c r="J12" s="1099">
        <f t="shared" si="2"/>
        <v>54.87985589652159</v>
      </c>
      <c r="K12" s="413">
        <f>K36+K58+K76+K94</f>
        <v>19995</v>
      </c>
      <c r="L12" s="1099">
        <f t="shared" si="3"/>
        <v>2.4953201048296516</v>
      </c>
      <c r="M12" s="2001">
        <f t="shared" si="4"/>
        <v>-781305</v>
      </c>
      <c r="N12" s="1993"/>
      <c r="O12" s="619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0"/>
      <c r="AM12" s="620"/>
      <c r="AN12" s="620"/>
      <c r="AO12" s="620"/>
      <c r="AP12" s="620"/>
      <c r="AQ12" s="620"/>
      <c r="AR12" s="620"/>
      <c r="AS12" s="620"/>
      <c r="AT12" s="620"/>
      <c r="AU12" s="620"/>
      <c r="AV12" s="620"/>
      <c r="AW12" s="620"/>
      <c r="AX12" s="620"/>
      <c r="AY12" s="620"/>
      <c r="AZ12" s="620"/>
      <c r="BA12" s="620"/>
      <c r="BB12" s="620"/>
      <c r="BC12" s="620"/>
      <c r="BD12" s="620"/>
      <c r="BE12" s="620"/>
      <c r="BF12" s="620"/>
      <c r="BG12" s="620"/>
      <c r="BH12" s="620"/>
      <c r="BI12" s="620"/>
      <c r="BJ12" s="620"/>
      <c r="BK12" s="620"/>
      <c r="BL12" s="620"/>
      <c r="BM12" s="620"/>
      <c r="BN12" s="620"/>
    </row>
    <row r="13" spans="1:66" s="2007" customFormat="1" ht="13.5" customHeight="1" x14ac:dyDescent="0.2">
      <c r="A13" s="3543"/>
      <c r="B13" s="631" t="s">
        <v>2</v>
      </c>
      <c r="C13" s="632"/>
      <c r="D13" s="2002">
        <f>+D14+D17</f>
        <v>163542810</v>
      </c>
      <c r="E13" s="2002">
        <f t="shared" ref="E13:H13" si="9">+E14+E17</f>
        <v>75344102</v>
      </c>
      <c r="F13" s="1774">
        <f t="shared" si="9"/>
        <v>27508251</v>
      </c>
      <c r="G13" s="1775">
        <f t="shared" si="9"/>
        <v>26946293</v>
      </c>
      <c r="H13" s="2003">
        <f t="shared" si="9"/>
        <v>33744164</v>
      </c>
      <c r="I13" s="2002">
        <f t="shared" ref="I13" si="10">+I14+I17</f>
        <v>107431568</v>
      </c>
      <c r="J13" s="2004">
        <f t="shared" si="2"/>
        <v>65.690181060237379</v>
      </c>
      <c r="K13" s="1775">
        <f>+K14+K17</f>
        <v>4830502</v>
      </c>
      <c r="L13" s="2004">
        <f t="shared" si="3"/>
        <v>17.926406426293962</v>
      </c>
      <c r="M13" s="1775">
        <f t="shared" si="4"/>
        <v>-22115791</v>
      </c>
      <c r="N13" s="3538" t="s">
        <v>78</v>
      </c>
      <c r="O13" s="2005"/>
      <c r="P13" s="2006"/>
    </row>
    <row r="14" spans="1:66" s="1781" customFormat="1" ht="14.25" customHeight="1" x14ac:dyDescent="0.2">
      <c r="A14" s="3496"/>
      <c r="B14" s="1776" t="s">
        <v>3</v>
      </c>
      <c r="C14" s="3438" t="s">
        <v>78</v>
      </c>
      <c r="D14" s="2008">
        <f t="shared" ref="D14:H14" si="11">+D15+D16</f>
        <v>6877444</v>
      </c>
      <c r="E14" s="2008">
        <f t="shared" si="11"/>
        <v>1985206</v>
      </c>
      <c r="F14" s="1777">
        <f t="shared" si="11"/>
        <v>2029724</v>
      </c>
      <c r="G14" s="1780">
        <f t="shared" si="11"/>
        <v>278961</v>
      </c>
      <c r="H14" s="2009">
        <f t="shared" si="11"/>
        <v>2583553</v>
      </c>
      <c r="I14" s="2008">
        <f t="shared" ref="I14" si="12">+I15+I16</f>
        <v>3949382</v>
      </c>
      <c r="J14" s="2010">
        <f t="shared" si="2"/>
        <v>57.425142247614083</v>
      </c>
      <c r="K14" s="1780">
        <f>+K15+K16</f>
        <v>14098</v>
      </c>
      <c r="L14" s="2010">
        <f>K14/G14*100</f>
        <v>5.0537530335781709</v>
      </c>
      <c r="M14" s="1780">
        <f t="shared" si="4"/>
        <v>-264863</v>
      </c>
      <c r="N14" s="3539"/>
      <c r="O14" s="1843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</row>
    <row r="15" spans="1:66" s="2014" customFormat="1" ht="13.5" customHeight="1" x14ac:dyDescent="0.2">
      <c r="A15" s="3496"/>
      <c r="B15" s="1782" t="s">
        <v>4</v>
      </c>
      <c r="C15" s="3438"/>
      <c r="D15" s="2011">
        <f t="shared" ref="D15:H15" si="13">D96</f>
        <v>5750000</v>
      </c>
      <c r="E15" s="2011">
        <f t="shared" si="13"/>
        <v>1352845</v>
      </c>
      <c r="F15" s="1783">
        <f t="shared" si="13"/>
        <v>1825000</v>
      </c>
      <c r="G15" s="1785">
        <f t="shared" si="13"/>
        <v>75325</v>
      </c>
      <c r="H15" s="2012">
        <f t="shared" si="13"/>
        <v>2496830</v>
      </c>
      <c r="I15" s="2011">
        <f t="shared" ref="I15:K15" si="14">I96</f>
        <v>3108050</v>
      </c>
      <c r="J15" s="2013">
        <f t="shared" si="2"/>
        <v>54.053043478260868</v>
      </c>
      <c r="K15" s="1785">
        <f t="shared" si="14"/>
        <v>4919</v>
      </c>
      <c r="L15" s="2013">
        <f t="shared" si="3"/>
        <v>6.5303684035844674</v>
      </c>
      <c r="M15" s="1785">
        <f t="shared" si="4"/>
        <v>-70406</v>
      </c>
      <c r="N15" s="3539"/>
      <c r="O15" s="1843"/>
    </row>
    <row r="16" spans="1:66" s="2014" customFormat="1" ht="12.75" customHeight="1" x14ac:dyDescent="0.2">
      <c r="A16" s="3496"/>
      <c r="B16" s="690" t="s">
        <v>7</v>
      </c>
      <c r="C16" s="3438"/>
      <c r="D16" s="2011">
        <f t="shared" ref="D16:H16" si="15">D27+D38+D49+D60+D85</f>
        <v>1127444</v>
      </c>
      <c r="E16" s="2011">
        <f t="shared" si="15"/>
        <v>632361</v>
      </c>
      <c r="F16" s="1783">
        <f t="shared" si="15"/>
        <v>204724</v>
      </c>
      <c r="G16" s="1785">
        <f t="shared" si="15"/>
        <v>203636</v>
      </c>
      <c r="H16" s="2012">
        <f t="shared" si="15"/>
        <v>86723</v>
      </c>
      <c r="I16" s="2011">
        <f t="shared" ref="I16:K16" si="16">I27+I38+I49+I60+I85</f>
        <v>841332</v>
      </c>
      <c r="J16" s="1798">
        <f t="shared" si="2"/>
        <v>74.622952448192549</v>
      </c>
      <c r="K16" s="1785">
        <f t="shared" si="16"/>
        <v>9179</v>
      </c>
      <c r="L16" s="1798">
        <f t="shared" si="3"/>
        <v>4.5075526920583791</v>
      </c>
      <c r="M16" s="1785">
        <f t="shared" si="4"/>
        <v>-194457</v>
      </c>
      <c r="N16" s="3539"/>
      <c r="O16" s="1843"/>
    </row>
    <row r="17" spans="1:26" s="1781" customFormat="1" ht="13.5" customHeight="1" x14ac:dyDescent="0.2">
      <c r="A17" s="3496"/>
      <c r="B17" s="1451" t="s">
        <v>12</v>
      </c>
      <c r="C17" s="3438"/>
      <c r="D17" s="2008">
        <f t="shared" ref="D17:I17" si="17">D18</f>
        <v>156665366</v>
      </c>
      <c r="E17" s="2008">
        <f t="shared" si="17"/>
        <v>73358896</v>
      </c>
      <c r="F17" s="1777">
        <f t="shared" si="17"/>
        <v>25478527</v>
      </c>
      <c r="G17" s="1780">
        <f t="shared" si="17"/>
        <v>26667332</v>
      </c>
      <c r="H17" s="2009">
        <f t="shared" si="17"/>
        <v>31160611</v>
      </c>
      <c r="I17" s="2008">
        <f t="shared" si="17"/>
        <v>103482186</v>
      </c>
      <c r="J17" s="2015">
        <f t="shared" si="2"/>
        <v>66.053007529436982</v>
      </c>
      <c r="K17" s="1780">
        <f>K18</f>
        <v>4816404</v>
      </c>
      <c r="L17" s="2015">
        <f t="shared" si="3"/>
        <v>18.061064376443809</v>
      </c>
      <c r="M17" s="1780">
        <f t="shared" si="4"/>
        <v>-21850928</v>
      </c>
      <c r="N17" s="3539"/>
      <c r="O17" s="1843"/>
      <c r="P17" s="1456"/>
      <c r="Q17" s="1456"/>
      <c r="R17" s="1456"/>
      <c r="S17" s="1456"/>
      <c r="T17" s="1456"/>
      <c r="U17" s="1456"/>
      <c r="V17" s="1456"/>
      <c r="W17" s="1456"/>
      <c r="X17" s="1456"/>
      <c r="Y17" s="1456"/>
      <c r="Z17" s="1456"/>
    </row>
    <row r="18" spans="1:26" s="1781" customFormat="1" ht="14.1" customHeight="1" x14ac:dyDescent="0.2">
      <c r="A18" s="3496"/>
      <c r="B18" s="2016" t="s">
        <v>14</v>
      </c>
      <c r="C18" s="3438"/>
      <c r="D18" s="2011">
        <f t="shared" ref="D18:H18" si="18">D29+D40+D51+D62+D71+D78+D87+D98</f>
        <v>156665366</v>
      </c>
      <c r="E18" s="2011">
        <f t="shared" si="18"/>
        <v>73358896</v>
      </c>
      <c r="F18" s="1783">
        <f t="shared" si="18"/>
        <v>25478527</v>
      </c>
      <c r="G18" s="1785">
        <f t="shared" si="18"/>
        <v>26667332</v>
      </c>
      <c r="H18" s="2012">
        <f t="shared" si="18"/>
        <v>31160611</v>
      </c>
      <c r="I18" s="2011">
        <f t="shared" ref="I18" si="19">I29+I40+I51+I62+I71+I78+I87+I98</f>
        <v>103482186</v>
      </c>
      <c r="J18" s="1798">
        <f t="shared" si="2"/>
        <v>66.053007529436982</v>
      </c>
      <c r="K18" s="1785">
        <f>K29+K40+K51+K62+K71+K78+K87+K98</f>
        <v>4816404</v>
      </c>
      <c r="L18" s="1798">
        <f t="shared" si="3"/>
        <v>18.061064376443809</v>
      </c>
      <c r="M18" s="1785">
        <f t="shared" si="4"/>
        <v>-21850928</v>
      </c>
      <c r="N18" s="3539"/>
      <c r="O18" s="1843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</row>
    <row r="19" spans="1:26" s="1781" customFormat="1" ht="14.1" customHeight="1" x14ac:dyDescent="0.2">
      <c r="A19" s="3496"/>
      <c r="B19" s="220" t="s">
        <v>16</v>
      </c>
      <c r="C19" s="2017"/>
      <c r="D19" s="2018">
        <f t="shared" ref="D19:H19" si="20">+D20+D22</f>
        <v>157792810</v>
      </c>
      <c r="E19" s="2018">
        <f t="shared" si="20"/>
        <v>73777739</v>
      </c>
      <c r="F19" s="2019">
        <f t="shared" si="20"/>
        <v>25747801</v>
      </c>
      <c r="G19" s="2020">
        <f t="shared" si="20"/>
        <v>26596627</v>
      </c>
      <c r="H19" s="2021">
        <f t="shared" si="20"/>
        <v>31670643</v>
      </c>
      <c r="I19" s="2018">
        <f t="shared" ref="I19:K19" si="21">+I20+I22</f>
        <v>106897044</v>
      </c>
      <c r="J19" s="2022">
        <f t="shared" si="2"/>
        <v>67.745193206205016</v>
      </c>
      <c r="K19" s="2020">
        <f t="shared" si="21"/>
        <v>7639505</v>
      </c>
      <c r="L19" s="2022">
        <f t="shared" si="3"/>
        <v>28.723585889293407</v>
      </c>
      <c r="M19" s="2020">
        <f t="shared" si="4"/>
        <v>-18957122</v>
      </c>
      <c r="N19" s="3539"/>
      <c r="O19" s="1843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</row>
    <row r="20" spans="1:26" s="1781" customFormat="1" ht="13.5" customHeight="1" x14ac:dyDescent="0.2">
      <c r="A20" s="3496"/>
      <c r="B20" s="1776" t="s">
        <v>3</v>
      </c>
      <c r="C20" s="3438" t="s">
        <v>78</v>
      </c>
      <c r="D20" s="2008">
        <f t="shared" ref="D20:K20" si="22">D21</f>
        <v>1127444</v>
      </c>
      <c r="E20" s="2008">
        <f t="shared" si="22"/>
        <v>605102</v>
      </c>
      <c r="F20" s="1777">
        <f t="shared" si="22"/>
        <v>204724</v>
      </c>
      <c r="G20" s="1780">
        <f t="shared" si="22"/>
        <v>210645</v>
      </c>
      <c r="H20" s="2009">
        <f t="shared" si="22"/>
        <v>106973</v>
      </c>
      <c r="I20" s="2008">
        <f t="shared" si="22"/>
        <v>806803</v>
      </c>
      <c r="J20" s="2015">
        <f t="shared" si="2"/>
        <v>71.560361312845686</v>
      </c>
      <c r="K20" s="1780">
        <f t="shared" si="22"/>
        <v>0</v>
      </c>
      <c r="L20" s="2015">
        <f t="shared" si="3"/>
        <v>0</v>
      </c>
      <c r="M20" s="1780">
        <f t="shared" si="4"/>
        <v>-210645</v>
      </c>
      <c r="N20" s="3539"/>
      <c r="O20" s="1843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</row>
    <row r="21" spans="1:26" s="1781" customFormat="1" ht="12" customHeight="1" x14ac:dyDescent="0.2">
      <c r="A21" s="3496"/>
      <c r="B21" s="690" t="s">
        <v>7</v>
      </c>
      <c r="C21" s="3438"/>
      <c r="D21" s="2011">
        <f t="shared" ref="D21:H21" si="23">D32+D43+D54+D65+D90</f>
        <v>1127444</v>
      </c>
      <c r="E21" s="2011">
        <f t="shared" si="23"/>
        <v>605102</v>
      </c>
      <c r="F21" s="1783">
        <f t="shared" si="23"/>
        <v>204724</v>
      </c>
      <c r="G21" s="1785">
        <f t="shared" si="23"/>
        <v>210645</v>
      </c>
      <c r="H21" s="2012">
        <f t="shared" si="23"/>
        <v>106973</v>
      </c>
      <c r="I21" s="2011">
        <f t="shared" ref="I21" si="24">I32+I43+I54+I65+I90</f>
        <v>806803</v>
      </c>
      <c r="J21" s="1798">
        <f t="shared" si="2"/>
        <v>71.560361312845686</v>
      </c>
      <c r="K21" s="1785">
        <f>K32+K43+K54+K65+K90</f>
        <v>0</v>
      </c>
      <c r="L21" s="1798">
        <f t="shared" si="3"/>
        <v>0</v>
      </c>
      <c r="M21" s="1785">
        <f t="shared" si="4"/>
        <v>-210645</v>
      </c>
      <c r="N21" s="3539"/>
      <c r="O21" s="1843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</row>
    <row r="22" spans="1:26" s="1781" customFormat="1" ht="14.1" customHeight="1" x14ac:dyDescent="0.2">
      <c r="A22" s="3496"/>
      <c r="B22" s="1451" t="s">
        <v>12</v>
      </c>
      <c r="C22" s="3438"/>
      <c r="D22" s="2008">
        <f t="shared" ref="D22:K22" si="25">D23</f>
        <v>156665366</v>
      </c>
      <c r="E22" s="2008">
        <f t="shared" si="25"/>
        <v>73172637</v>
      </c>
      <c r="F22" s="1777">
        <f t="shared" si="25"/>
        <v>25543077</v>
      </c>
      <c r="G22" s="1780">
        <f t="shared" si="25"/>
        <v>26385982</v>
      </c>
      <c r="H22" s="2009">
        <f t="shared" si="25"/>
        <v>31563670</v>
      </c>
      <c r="I22" s="2008">
        <f t="shared" si="25"/>
        <v>106090241</v>
      </c>
      <c r="J22" s="1798">
        <f t="shared" si="2"/>
        <v>67.717737307682924</v>
      </c>
      <c r="K22" s="1780">
        <f t="shared" si="25"/>
        <v>7639505</v>
      </c>
      <c r="L22" s="1798">
        <f t="shared" si="3"/>
        <v>28.952892486624147</v>
      </c>
      <c r="M22" s="1780">
        <f t="shared" si="4"/>
        <v>-18746477</v>
      </c>
      <c r="N22" s="3539"/>
      <c r="O22" s="1843"/>
      <c r="P22" s="1456"/>
      <c r="Q22" s="1456"/>
      <c r="R22" s="1456"/>
      <c r="S22" s="1456"/>
      <c r="T22" s="1456"/>
      <c r="U22" s="1456"/>
      <c r="V22" s="1456"/>
      <c r="W22" s="1456"/>
      <c r="X22" s="1456"/>
      <c r="Y22" s="1456"/>
      <c r="Z22" s="1456"/>
    </row>
    <row r="23" spans="1:26" s="1781" customFormat="1" ht="13.5" thickBot="1" x14ac:dyDescent="0.25">
      <c r="A23" s="3544"/>
      <c r="B23" s="2023" t="s">
        <v>14</v>
      </c>
      <c r="C23" s="3545"/>
      <c r="D23" s="1800">
        <f t="shared" ref="D23:H23" si="26">D34+D45+D56+D67+D74+D81+D92+D101</f>
        <v>156665366</v>
      </c>
      <c r="E23" s="1800">
        <f t="shared" si="26"/>
        <v>73172637</v>
      </c>
      <c r="F23" s="2024">
        <f t="shared" si="26"/>
        <v>25543077</v>
      </c>
      <c r="G23" s="1802">
        <f t="shared" si="26"/>
        <v>26385982</v>
      </c>
      <c r="H23" s="2025">
        <f t="shared" si="26"/>
        <v>31563670</v>
      </c>
      <c r="I23" s="1800">
        <f t="shared" ref="I23" si="27">I34+I45+I56+I67+I74+I81+I92+I101</f>
        <v>106090241</v>
      </c>
      <c r="J23" s="1798">
        <f t="shared" si="2"/>
        <v>67.717737307682924</v>
      </c>
      <c r="K23" s="1802">
        <f>K34+K45+K56+K67+K74+K81+K92+K101</f>
        <v>7639505</v>
      </c>
      <c r="L23" s="1798">
        <f t="shared" si="3"/>
        <v>28.952892486624147</v>
      </c>
      <c r="M23" s="1802">
        <f t="shared" si="4"/>
        <v>-18746477</v>
      </c>
      <c r="N23" s="3540"/>
      <c r="O23" s="1843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</row>
    <row r="24" spans="1:26" s="1844" customFormat="1" ht="39.75" customHeight="1" x14ac:dyDescent="0.2">
      <c r="A24" s="3486" t="s">
        <v>32</v>
      </c>
      <c r="B24" s="2026" t="s">
        <v>145</v>
      </c>
      <c r="C24" s="2027" t="s">
        <v>171</v>
      </c>
      <c r="D24" s="2028"/>
      <c r="E24" s="2029"/>
      <c r="F24" s="2029"/>
      <c r="G24" s="2029"/>
      <c r="H24" s="2030"/>
      <c r="I24" s="2028"/>
      <c r="J24" s="2031"/>
      <c r="K24" s="2029"/>
      <c r="L24" s="2031"/>
      <c r="M24" s="2029"/>
      <c r="N24" s="3507" t="s">
        <v>331</v>
      </c>
      <c r="O24" s="1843"/>
    </row>
    <row r="25" spans="1:26" s="1844" customFormat="1" ht="15" customHeight="1" x14ac:dyDescent="0.2">
      <c r="A25" s="3484"/>
      <c r="B25" s="220" t="s">
        <v>2</v>
      </c>
      <c r="C25" s="2032"/>
      <c r="D25" s="2033">
        <f t="shared" ref="D25:H25" si="28">+D26+D28</f>
        <v>5117038</v>
      </c>
      <c r="E25" s="2033">
        <f t="shared" si="28"/>
        <v>2402173</v>
      </c>
      <c r="F25" s="2033">
        <f t="shared" si="28"/>
        <v>1049145</v>
      </c>
      <c r="G25" s="2033">
        <f t="shared" si="28"/>
        <v>1087571</v>
      </c>
      <c r="H25" s="2033">
        <f t="shared" si="28"/>
        <v>578149</v>
      </c>
      <c r="I25" s="2034">
        <f t="shared" ref="I25:I34" si="29">+K25+E25+F25</f>
        <v>3456840</v>
      </c>
      <c r="J25" s="2035">
        <f t="shared" ref="J25:J34" si="30">I25/D25*100</f>
        <v>67.555488155452437</v>
      </c>
      <c r="K25" s="2033">
        <f>+K26+K28</f>
        <v>5522</v>
      </c>
      <c r="L25" s="2035">
        <f t="shared" ref="L25:L34" si="31">K25/G25*100</f>
        <v>0.50773696613830277</v>
      </c>
      <c r="M25" s="2033">
        <f t="shared" ref="M25:M74" si="32">+K25-G25*0.5</f>
        <v>-538263.5</v>
      </c>
      <c r="N25" s="3508"/>
      <c r="O25" s="1843"/>
      <c r="P25" s="1843"/>
    </row>
    <row r="26" spans="1:26" s="1844" customFormat="1" ht="15" customHeight="1" x14ac:dyDescent="0.2">
      <c r="A26" s="3484"/>
      <c r="B26" s="351" t="s">
        <v>17</v>
      </c>
      <c r="C26" s="3490" t="s">
        <v>135</v>
      </c>
      <c r="D26" s="1684">
        <f t="shared" ref="D26:H26" si="33">+D27</f>
        <v>767556</v>
      </c>
      <c r="E26" s="1682">
        <f t="shared" si="33"/>
        <v>360325</v>
      </c>
      <c r="F26" s="1682">
        <f t="shared" si="33"/>
        <v>157372</v>
      </c>
      <c r="G26" s="1682">
        <f t="shared" si="33"/>
        <v>163136</v>
      </c>
      <c r="H26" s="2036">
        <f t="shared" si="33"/>
        <v>86723</v>
      </c>
      <c r="I26" s="1684">
        <f t="shared" si="29"/>
        <v>518525</v>
      </c>
      <c r="J26" s="2037">
        <f t="shared" si="30"/>
        <v>67.555331467671408</v>
      </c>
      <c r="K26" s="1682">
        <f>+K27</f>
        <v>828</v>
      </c>
      <c r="L26" s="2037">
        <f t="shared" si="31"/>
        <v>0.50755198116908595</v>
      </c>
      <c r="M26" s="1682">
        <f t="shared" si="32"/>
        <v>-80740</v>
      </c>
      <c r="N26" s="3508"/>
      <c r="O26" s="1843"/>
      <c r="P26" s="1843"/>
    </row>
    <row r="27" spans="1:26" s="1844" customFormat="1" ht="15" customHeight="1" x14ac:dyDescent="0.2">
      <c r="A27" s="3484"/>
      <c r="B27" s="2038" t="s">
        <v>7</v>
      </c>
      <c r="C27" s="3188"/>
      <c r="D27" s="2039">
        <f>+E27+F27+G27+H27</f>
        <v>767556</v>
      </c>
      <c r="E27" s="2040">
        <f>27008+90621+115017+127679</f>
        <v>360325</v>
      </c>
      <c r="F27" s="2040">
        <v>157372</v>
      </c>
      <c r="G27" s="2040">
        <v>163136</v>
      </c>
      <c r="H27" s="2041">
        <v>86723</v>
      </c>
      <c r="I27" s="1177">
        <f t="shared" si="29"/>
        <v>518525</v>
      </c>
      <c r="J27" s="2042">
        <f t="shared" si="30"/>
        <v>67.555331467671408</v>
      </c>
      <c r="K27" s="2040">
        <v>828</v>
      </c>
      <c r="L27" s="2042">
        <f t="shared" si="31"/>
        <v>0.50755198116908595</v>
      </c>
      <c r="M27" s="2040">
        <f t="shared" si="32"/>
        <v>-80740</v>
      </c>
      <c r="N27" s="3508"/>
      <c r="O27" s="1843"/>
      <c r="P27" s="1843"/>
    </row>
    <row r="28" spans="1:26" s="1844" customFormat="1" ht="15" customHeight="1" x14ac:dyDescent="0.2">
      <c r="A28" s="3484"/>
      <c r="B28" s="1837" t="s">
        <v>12</v>
      </c>
      <c r="C28" s="3188"/>
      <c r="D28" s="1928">
        <f>+D29</f>
        <v>4349482</v>
      </c>
      <c r="E28" s="1929">
        <f>+E29</f>
        <v>2041848</v>
      </c>
      <c r="F28" s="1929">
        <f>F29</f>
        <v>891773</v>
      </c>
      <c r="G28" s="1929">
        <f>G29</f>
        <v>924435</v>
      </c>
      <c r="H28" s="1932">
        <f>H29</f>
        <v>491426</v>
      </c>
      <c r="I28" s="1928">
        <f t="shared" si="29"/>
        <v>2938315</v>
      </c>
      <c r="J28" s="2043">
        <f t="shared" si="30"/>
        <v>67.555515806250028</v>
      </c>
      <c r="K28" s="1929">
        <f>K29</f>
        <v>4694</v>
      </c>
      <c r="L28" s="2043">
        <f t="shared" si="31"/>
        <v>0.50776961062703163</v>
      </c>
      <c r="M28" s="1929">
        <f t="shared" si="32"/>
        <v>-457523.5</v>
      </c>
      <c r="N28" s="3508"/>
      <c r="O28" s="1843"/>
      <c r="P28" s="1843"/>
    </row>
    <row r="29" spans="1:26" s="1844" customFormat="1" ht="15" customHeight="1" x14ac:dyDescent="0.2">
      <c r="A29" s="3484"/>
      <c r="B29" s="2044" t="s">
        <v>14</v>
      </c>
      <c r="C29" s="3188"/>
      <c r="D29" s="2039">
        <f>+E29+F29+G29+H29</f>
        <v>4349482</v>
      </c>
      <c r="E29" s="1046">
        <f>153046+513525+651766+723511</f>
        <v>2041848</v>
      </c>
      <c r="F29" s="1046">
        <v>891773</v>
      </c>
      <c r="G29" s="1046">
        <v>924435</v>
      </c>
      <c r="H29" s="417">
        <v>491426</v>
      </c>
      <c r="I29" s="1177">
        <f t="shared" si="29"/>
        <v>2938315</v>
      </c>
      <c r="J29" s="2042">
        <f t="shared" si="30"/>
        <v>67.555515806250028</v>
      </c>
      <c r="K29" s="1046">
        <v>4694</v>
      </c>
      <c r="L29" s="2042">
        <f t="shared" si="31"/>
        <v>0.50776961062703163</v>
      </c>
      <c r="M29" s="1046">
        <f t="shared" si="32"/>
        <v>-457523.5</v>
      </c>
      <c r="N29" s="3508"/>
      <c r="O29" s="1843"/>
      <c r="P29" s="1843"/>
    </row>
    <row r="30" spans="1:26" s="1844" customFormat="1" ht="15" customHeight="1" x14ac:dyDescent="0.2">
      <c r="A30" s="3132"/>
      <c r="B30" s="220" t="s">
        <v>16</v>
      </c>
      <c r="C30" s="1860"/>
      <c r="D30" s="2034">
        <f>+D31+D33</f>
        <v>5117038</v>
      </c>
      <c r="E30" s="2033">
        <f>+E31+E33</f>
        <v>2402173</v>
      </c>
      <c r="F30" s="2033">
        <f>F31+F33</f>
        <v>1049145</v>
      </c>
      <c r="G30" s="2033">
        <f>G31+G33</f>
        <v>1087571</v>
      </c>
      <c r="H30" s="2045">
        <f>H31+H33</f>
        <v>578149</v>
      </c>
      <c r="I30" s="2034">
        <f t="shared" si="29"/>
        <v>3451318</v>
      </c>
      <c r="J30" s="2035">
        <f t="shared" si="30"/>
        <v>67.447574163021656</v>
      </c>
      <c r="K30" s="2033">
        <f>K31+K33</f>
        <v>0</v>
      </c>
      <c r="L30" s="2035">
        <f t="shared" si="31"/>
        <v>0</v>
      </c>
      <c r="M30" s="2033">
        <f t="shared" si="32"/>
        <v>-543785.5</v>
      </c>
      <c r="N30" s="3508"/>
      <c r="O30" s="1843"/>
      <c r="P30" s="1843"/>
    </row>
    <row r="31" spans="1:26" s="1844" customFormat="1" ht="15" customHeight="1" x14ac:dyDescent="0.2">
      <c r="A31" s="3132"/>
      <c r="B31" s="351" t="s">
        <v>17</v>
      </c>
      <c r="C31" s="3490" t="s">
        <v>135</v>
      </c>
      <c r="D31" s="1684">
        <f>+D32</f>
        <v>767556</v>
      </c>
      <c r="E31" s="1682">
        <f>+E32</f>
        <v>360325</v>
      </c>
      <c r="F31" s="1682">
        <f>F32</f>
        <v>157372</v>
      </c>
      <c r="G31" s="1682">
        <f>G32</f>
        <v>163136</v>
      </c>
      <c r="H31" s="2036">
        <f>H32</f>
        <v>86723</v>
      </c>
      <c r="I31" s="2046">
        <f t="shared" si="29"/>
        <v>517697</v>
      </c>
      <c r="J31" s="2047">
        <f t="shared" si="30"/>
        <v>67.447456602515004</v>
      </c>
      <c r="K31" s="2048">
        <f>K32</f>
        <v>0</v>
      </c>
      <c r="L31" s="2047">
        <f t="shared" si="31"/>
        <v>0</v>
      </c>
      <c r="M31" s="2048">
        <f t="shared" si="32"/>
        <v>-81568</v>
      </c>
      <c r="N31" s="3508"/>
      <c r="O31" s="1843"/>
      <c r="P31" s="1843"/>
    </row>
    <row r="32" spans="1:26" s="1844" customFormat="1" ht="15" customHeight="1" x14ac:dyDescent="0.2">
      <c r="A32" s="3132"/>
      <c r="B32" s="2038" t="s">
        <v>7</v>
      </c>
      <c r="C32" s="3188"/>
      <c r="D32" s="2039">
        <f>+E32+F32+G32+H32</f>
        <v>767556</v>
      </c>
      <c r="E32" s="2040">
        <f>27008+90621+115017+127679</f>
        <v>360325</v>
      </c>
      <c r="F32" s="2040">
        <v>157372</v>
      </c>
      <c r="G32" s="2040">
        <v>163136</v>
      </c>
      <c r="H32" s="2041">
        <v>86723</v>
      </c>
      <c r="I32" s="1182">
        <f t="shared" si="29"/>
        <v>517697</v>
      </c>
      <c r="J32" s="2049">
        <f t="shared" si="30"/>
        <v>67.447456602515004</v>
      </c>
      <c r="K32" s="1637">
        <v>0</v>
      </c>
      <c r="L32" s="2049">
        <f t="shared" si="31"/>
        <v>0</v>
      </c>
      <c r="M32" s="1637">
        <f t="shared" si="32"/>
        <v>-81568</v>
      </c>
      <c r="N32" s="3508"/>
      <c r="O32" s="1843"/>
      <c r="P32" s="1843"/>
    </row>
    <row r="33" spans="1:16" s="1844" customFormat="1" ht="15" customHeight="1" thickBot="1" x14ac:dyDescent="0.25">
      <c r="A33" s="3181"/>
      <c r="B33" s="1837" t="s">
        <v>12</v>
      </c>
      <c r="C33" s="3157"/>
      <c r="D33" s="1928">
        <f>+D34</f>
        <v>4349482</v>
      </c>
      <c r="E33" s="1929">
        <f>+E34</f>
        <v>2041848</v>
      </c>
      <c r="F33" s="1929">
        <f>F34</f>
        <v>891773</v>
      </c>
      <c r="G33" s="1929">
        <f>G34</f>
        <v>924435</v>
      </c>
      <c r="H33" s="1932">
        <f>H34</f>
        <v>491426</v>
      </c>
      <c r="I33" s="2050">
        <f t="shared" si="29"/>
        <v>2933621</v>
      </c>
      <c r="J33" s="2051">
        <f t="shared" si="30"/>
        <v>67.447594909002959</v>
      </c>
      <c r="K33" s="2052">
        <f>K34</f>
        <v>0</v>
      </c>
      <c r="L33" s="2051">
        <f t="shared" si="31"/>
        <v>0</v>
      </c>
      <c r="M33" s="2052">
        <f t="shared" si="32"/>
        <v>-462217.5</v>
      </c>
      <c r="N33" s="3508"/>
      <c r="O33" s="1843"/>
      <c r="P33" s="1843"/>
    </row>
    <row r="34" spans="1:16" s="1844" customFormat="1" ht="13.5" thickBot="1" x14ac:dyDescent="0.25">
      <c r="A34" s="3177"/>
      <c r="B34" s="2053" t="s">
        <v>14</v>
      </c>
      <c r="C34" s="3542"/>
      <c r="D34" s="2054">
        <f>+E34+F34+G34+H34</f>
        <v>4349482</v>
      </c>
      <c r="E34" s="1200">
        <f>153046+513525+651766+723511</f>
        <v>2041848</v>
      </c>
      <c r="F34" s="1200">
        <v>891773</v>
      </c>
      <c r="G34" s="1200">
        <v>924435</v>
      </c>
      <c r="H34" s="2055">
        <v>491426</v>
      </c>
      <c r="I34" s="2056">
        <f t="shared" si="29"/>
        <v>2933621</v>
      </c>
      <c r="J34" s="2057">
        <f t="shared" si="30"/>
        <v>67.447594909002959</v>
      </c>
      <c r="K34" s="1201">
        <v>0</v>
      </c>
      <c r="L34" s="2057">
        <f t="shared" si="31"/>
        <v>0</v>
      </c>
      <c r="M34" s="1201">
        <f t="shared" si="32"/>
        <v>-462217.5</v>
      </c>
      <c r="N34" s="3541"/>
      <c r="O34" s="1843"/>
      <c r="P34" s="1843"/>
    </row>
    <row r="35" spans="1:16" s="1844" customFormat="1" ht="39.75" customHeight="1" x14ac:dyDescent="0.2">
      <c r="A35" s="3486">
        <v>2</v>
      </c>
      <c r="B35" s="2026" t="s">
        <v>206</v>
      </c>
      <c r="C35" s="1663" t="s">
        <v>166</v>
      </c>
      <c r="D35" s="2028"/>
      <c r="E35" s="2029"/>
      <c r="F35" s="2029"/>
      <c r="G35" s="2029"/>
      <c r="H35" s="2058"/>
      <c r="I35" s="2028"/>
      <c r="J35" s="2031"/>
      <c r="K35" s="2029"/>
      <c r="L35" s="2031"/>
      <c r="M35" s="2029"/>
      <c r="N35" s="3507" t="s">
        <v>331</v>
      </c>
      <c r="O35" s="1843"/>
    </row>
    <row r="36" spans="1:16" s="1844" customFormat="1" ht="12.75" customHeight="1" thickBot="1" x14ac:dyDescent="0.25">
      <c r="A36" s="3484"/>
      <c r="B36" s="220" t="s">
        <v>2</v>
      </c>
      <c r="C36" s="2059"/>
      <c r="D36" s="2018">
        <f t="shared" ref="D36:H36" si="34">+D37+D39</f>
        <v>283962</v>
      </c>
      <c r="E36" s="2020">
        <f t="shared" si="34"/>
        <v>283962</v>
      </c>
      <c r="F36" s="2060">
        <f t="shared" si="34"/>
        <v>0</v>
      </c>
      <c r="G36" s="2060">
        <f t="shared" si="34"/>
        <v>0</v>
      </c>
      <c r="H36" s="2061">
        <f t="shared" si="34"/>
        <v>0</v>
      </c>
      <c r="I36" s="2034">
        <f t="shared" ref="I36:I45" si="35">+K36+E36+F36</f>
        <v>283962</v>
      </c>
      <c r="J36" s="2035">
        <f t="shared" ref="J36:J45" si="36">I36/D36*100</f>
        <v>100</v>
      </c>
      <c r="K36" s="2062">
        <f>+K37+K39</f>
        <v>0</v>
      </c>
      <c r="L36" s="2062">
        <v>0</v>
      </c>
      <c r="M36" s="2062">
        <f t="shared" si="32"/>
        <v>0</v>
      </c>
      <c r="N36" s="3508"/>
      <c r="O36" s="1843"/>
    </row>
    <row r="37" spans="1:16" s="1844" customFormat="1" ht="12.75" customHeight="1" x14ac:dyDescent="0.2">
      <c r="A37" s="3484"/>
      <c r="B37" s="351" t="s">
        <v>17</v>
      </c>
      <c r="C37" s="3396" t="s">
        <v>135</v>
      </c>
      <c r="D37" s="2046">
        <f t="shared" ref="D37:H37" si="37">+D38</f>
        <v>42595</v>
      </c>
      <c r="E37" s="2048">
        <f t="shared" si="37"/>
        <v>42595</v>
      </c>
      <c r="F37" s="2063">
        <f t="shared" si="37"/>
        <v>0</v>
      </c>
      <c r="G37" s="2063">
        <f t="shared" si="37"/>
        <v>0</v>
      </c>
      <c r="H37" s="2064">
        <f t="shared" si="37"/>
        <v>0</v>
      </c>
      <c r="I37" s="1684">
        <f t="shared" si="35"/>
        <v>42595</v>
      </c>
      <c r="J37" s="2037">
        <f t="shared" si="36"/>
        <v>100</v>
      </c>
      <c r="K37" s="2065">
        <f>+K38</f>
        <v>0</v>
      </c>
      <c r="L37" s="2065">
        <v>0</v>
      </c>
      <c r="M37" s="2065">
        <f t="shared" si="32"/>
        <v>0</v>
      </c>
      <c r="N37" s="3507"/>
      <c r="O37" s="1843"/>
    </row>
    <row r="38" spans="1:16" s="1844" customFormat="1" ht="12.75" customHeight="1" x14ac:dyDescent="0.2">
      <c r="A38" s="3484"/>
      <c r="B38" s="2038" t="s">
        <v>7</v>
      </c>
      <c r="C38" s="3390"/>
      <c r="D38" s="1636">
        <f>+E38+F38+G38+H38</f>
        <v>42595</v>
      </c>
      <c r="E38" s="1637">
        <v>42595</v>
      </c>
      <c r="F38" s="2066">
        <v>0</v>
      </c>
      <c r="G38" s="2066">
        <v>0</v>
      </c>
      <c r="H38" s="2067">
        <v>0</v>
      </c>
      <c r="I38" s="2039">
        <f t="shared" si="35"/>
        <v>42595</v>
      </c>
      <c r="J38" s="2068">
        <f t="shared" si="36"/>
        <v>100</v>
      </c>
      <c r="K38" s="2069">
        <v>0</v>
      </c>
      <c r="L38" s="2069">
        <v>0</v>
      </c>
      <c r="M38" s="2069">
        <f t="shared" si="32"/>
        <v>0</v>
      </c>
      <c r="N38" s="3508"/>
      <c r="O38" s="1843"/>
    </row>
    <row r="39" spans="1:16" s="1844" customFormat="1" ht="12.75" customHeight="1" x14ac:dyDescent="0.2">
      <c r="A39" s="3484"/>
      <c r="B39" s="1837" t="s">
        <v>12</v>
      </c>
      <c r="C39" s="3390"/>
      <c r="D39" s="2050">
        <f>+D40</f>
        <v>241367</v>
      </c>
      <c r="E39" s="2052">
        <f>+E40</f>
        <v>241367</v>
      </c>
      <c r="F39" s="1933">
        <f>F40</f>
        <v>0</v>
      </c>
      <c r="G39" s="1933">
        <f>G40</f>
        <v>0</v>
      </c>
      <c r="H39" s="2070">
        <f>H40</f>
        <v>0</v>
      </c>
      <c r="I39" s="1928">
        <f t="shared" si="35"/>
        <v>241367</v>
      </c>
      <c r="J39" s="2043">
        <f t="shared" si="36"/>
        <v>100</v>
      </c>
      <c r="K39" s="1930">
        <f>K40</f>
        <v>0</v>
      </c>
      <c r="L39" s="1930">
        <v>0</v>
      </c>
      <c r="M39" s="1930">
        <f t="shared" si="32"/>
        <v>0</v>
      </c>
      <c r="N39" s="3508"/>
      <c r="O39" s="1843"/>
    </row>
    <row r="40" spans="1:16" s="1844" customFormat="1" ht="12.75" customHeight="1" x14ac:dyDescent="0.2">
      <c r="A40" s="3484"/>
      <c r="B40" s="2044" t="s">
        <v>14</v>
      </c>
      <c r="C40" s="3390"/>
      <c r="D40" s="1636">
        <f>+E40+F40+G40+H40</f>
        <v>241367</v>
      </c>
      <c r="E40" s="1045">
        <v>241367</v>
      </c>
      <c r="F40" s="260">
        <v>0</v>
      </c>
      <c r="G40" s="260">
        <v>0</v>
      </c>
      <c r="H40" s="269">
        <v>0</v>
      </c>
      <c r="I40" s="2039">
        <f t="shared" si="35"/>
        <v>241367</v>
      </c>
      <c r="J40" s="2068">
        <f t="shared" si="36"/>
        <v>100</v>
      </c>
      <c r="K40" s="250">
        <v>0</v>
      </c>
      <c r="L40" s="2069">
        <v>0</v>
      </c>
      <c r="M40" s="250">
        <f t="shared" si="32"/>
        <v>0</v>
      </c>
      <c r="N40" s="3508"/>
      <c r="O40" s="1843"/>
    </row>
    <row r="41" spans="1:16" s="1844" customFormat="1" ht="12.75" customHeight="1" x14ac:dyDescent="0.2">
      <c r="A41" s="3132"/>
      <c r="B41" s="220" t="s">
        <v>16</v>
      </c>
      <c r="C41" s="2071"/>
      <c r="D41" s="2018">
        <f>+D42+D44</f>
        <v>283962</v>
      </c>
      <c r="E41" s="2020">
        <f>+E42+E44</f>
        <v>283962</v>
      </c>
      <c r="F41" s="2060">
        <f>F42+F44</f>
        <v>0</v>
      </c>
      <c r="G41" s="2060">
        <f>G42+G44</f>
        <v>0</v>
      </c>
      <c r="H41" s="2061">
        <f>H42+H44</f>
        <v>0</v>
      </c>
      <c r="I41" s="2034">
        <f t="shared" si="35"/>
        <v>283962</v>
      </c>
      <c r="J41" s="2035">
        <f t="shared" si="36"/>
        <v>100</v>
      </c>
      <c r="K41" s="2062">
        <f>K42+K44</f>
        <v>0</v>
      </c>
      <c r="L41" s="2062">
        <v>0</v>
      </c>
      <c r="M41" s="2062">
        <f t="shared" si="32"/>
        <v>0</v>
      </c>
      <c r="N41" s="3508"/>
      <c r="O41" s="1843"/>
    </row>
    <row r="42" spans="1:16" s="1844" customFormat="1" ht="12.75" customHeight="1" x14ac:dyDescent="0.2">
      <c r="A42" s="3506"/>
      <c r="B42" s="2072" t="s">
        <v>17</v>
      </c>
      <c r="C42" s="3490" t="s">
        <v>135</v>
      </c>
      <c r="D42" s="2046">
        <f>+D43</f>
        <v>42595</v>
      </c>
      <c r="E42" s="2048">
        <f>+E43</f>
        <v>42595</v>
      </c>
      <c r="F42" s="2063">
        <f>F43</f>
        <v>0</v>
      </c>
      <c r="G42" s="2063">
        <f>G43</f>
        <v>0</v>
      </c>
      <c r="H42" s="2064">
        <f>H43</f>
        <v>0</v>
      </c>
      <c r="I42" s="1684">
        <f t="shared" si="35"/>
        <v>42595</v>
      </c>
      <c r="J42" s="2037">
        <f t="shared" si="36"/>
        <v>100</v>
      </c>
      <c r="K42" s="2065">
        <f>K43</f>
        <v>0</v>
      </c>
      <c r="L42" s="2065">
        <v>0</v>
      </c>
      <c r="M42" s="2065">
        <f t="shared" si="32"/>
        <v>0</v>
      </c>
      <c r="N42" s="3508"/>
      <c r="O42" s="1843"/>
    </row>
    <row r="43" spans="1:16" s="1844" customFormat="1" ht="12.75" customHeight="1" x14ac:dyDescent="0.2">
      <c r="A43" s="3132"/>
      <c r="B43" s="2073" t="s">
        <v>7</v>
      </c>
      <c r="C43" s="3188"/>
      <c r="D43" s="1636">
        <f>+E43+F43+G43+H43</f>
        <v>42595</v>
      </c>
      <c r="E43" s="1637">
        <v>42595</v>
      </c>
      <c r="F43" s="2066">
        <v>0</v>
      </c>
      <c r="G43" s="2066">
        <v>0</v>
      </c>
      <c r="H43" s="2067">
        <v>0</v>
      </c>
      <c r="I43" s="2039">
        <f t="shared" si="35"/>
        <v>42595</v>
      </c>
      <c r="J43" s="2068">
        <f t="shared" si="36"/>
        <v>100</v>
      </c>
      <c r="K43" s="2069">
        <v>0</v>
      </c>
      <c r="L43" s="2069">
        <v>0</v>
      </c>
      <c r="M43" s="2069">
        <f t="shared" si="32"/>
        <v>0</v>
      </c>
      <c r="N43" s="3508"/>
      <c r="O43" s="1843"/>
    </row>
    <row r="44" spans="1:16" s="1844" customFormat="1" ht="12.75" customHeight="1" x14ac:dyDescent="0.2">
      <c r="A44" s="3132"/>
      <c r="B44" s="2074" t="s">
        <v>12</v>
      </c>
      <c r="C44" s="3188"/>
      <c r="D44" s="2050">
        <f>+D45</f>
        <v>241367</v>
      </c>
      <c r="E44" s="2052">
        <f>+E45</f>
        <v>241367</v>
      </c>
      <c r="F44" s="1933">
        <f>F45</f>
        <v>0</v>
      </c>
      <c r="G44" s="1933">
        <f>G45</f>
        <v>0</v>
      </c>
      <c r="H44" s="2070">
        <f>H45</f>
        <v>0</v>
      </c>
      <c r="I44" s="1928">
        <f t="shared" si="35"/>
        <v>241367</v>
      </c>
      <c r="J44" s="2043">
        <f t="shared" si="36"/>
        <v>100</v>
      </c>
      <c r="K44" s="1930">
        <f>K45</f>
        <v>0</v>
      </c>
      <c r="L44" s="2075"/>
      <c r="M44" s="1930">
        <f t="shared" si="32"/>
        <v>0</v>
      </c>
      <c r="N44" s="3508"/>
      <c r="O44" s="1843"/>
    </row>
    <row r="45" spans="1:16" s="1844" customFormat="1" ht="12.75" customHeight="1" thickBot="1" x14ac:dyDescent="0.25">
      <c r="A45" s="3133"/>
      <c r="B45" s="2076" t="s">
        <v>14</v>
      </c>
      <c r="C45" s="3189"/>
      <c r="D45" s="2077">
        <f>+E45+F45+G45+H45</f>
        <v>241367</v>
      </c>
      <c r="E45" s="1201">
        <v>241367</v>
      </c>
      <c r="F45" s="819">
        <v>0</v>
      </c>
      <c r="G45" s="819">
        <v>0</v>
      </c>
      <c r="H45" s="829">
        <v>0</v>
      </c>
      <c r="I45" s="2054">
        <f t="shared" si="35"/>
        <v>241367</v>
      </c>
      <c r="J45" s="2078">
        <f t="shared" si="36"/>
        <v>100</v>
      </c>
      <c r="K45" s="818">
        <v>0</v>
      </c>
      <c r="L45" s="2079"/>
      <c r="M45" s="818">
        <f t="shared" si="32"/>
        <v>0</v>
      </c>
      <c r="N45" s="3509"/>
      <c r="O45" s="1843"/>
    </row>
    <row r="46" spans="1:16" s="1844" customFormat="1" ht="68.25" hidden="1" customHeight="1" x14ac:dyDescent="0.2">
      <c r="A46" s="3486" t="s">
        <v>40</v>
      </c>
      <c r="B46" s="2026" t="s">
        <v>146</v>
      </c>
      <c r="C46" s="2027" t="s">
        <v>171</v>
      </c>
      <c r="D46" s="2028"/>
      <c r="E46" s="2029"/>
      <c r="F46" s="2029"/>
      <c r="G46" s="2029"/>
      <c r="H46" s="2030"/>
      <c r="I46" s="2028"/>
      <c r="J46" s="2080"/>
      <c r="K46" s="2081"/>
      <c r="L46" s="2081"/>
      <c r="M46" s="2082"/>
      <c r="N46" s="3501" t="s">
        <v>147</v>
      </c>
      <c r="O46" s="1843"/>
    </row>
    <row r="47" spans="1:16" s="1844" customFormat="1" ht="12.75" hidden="1" customHeight="1" x14ac:dyDescent="0.2">
      <c r="A47" s="3484"/>
      <c r="B47" s="220" t="s">
        <v>2</v>
      </c>
      <c r="C47" s="2032"/>
      <c r="D47" s="2018">
        <f t="shared" ref="D47:H47" si="38">+D48+D50</f>
        <v>0</v>
      </c>
      <c r="E47" s="2020">
        <f t="shared" si="38"/>
        <v>0</v>
      </c>
      <c r="F47" s="2020">
        <f t="shared" si="38"/>
        <v>0</v>
      </c>
      <c r="G47" s="2060">
        <f t="shared" si="38"/>
        <v>0</v>
      </c>
      <c r="H47" s="2083">
        <f t="shared" si="38"/>
        <v>0</v>
      </c>
      <c r="I47" s="2018">
        <f t="shared" ref="I47:I56" si="39">+K47+E47+F47</f>
        <v>0</v>
      </c>
      <c r="J47" s="2084" t="e">
        <f t="shared" ref="J47:J56" si="40">I47/D47*100</f>
        <v>#DIV/0!</v>
      </c>
      <c r="K47" s="2060">
        <f>+K48+K50</f>
        <v>0</v>
      </c>
      <c r="L47" s="2060">
        <f>+L48+L50</f>
        <v>0</v>
      </c>
      <c r="M47" s="2085">
        <f t="shared" si="32"/>
        <v>0</v>
      </c>
      <c r="N47" s="3188"/>
      <c r="O47" s="1843"/>
    </row>
    <row r="48" spans="1:16" s="1844" customFormat="1" ht="12.75" hidden="1" customHeight="1" x14ac:dyDescent="0.2">
      <c r="A48" s="3484"/>
      <c r="B48" s="351" t="s">
        <v>17</v>
      </c>
      <c r="C48" s="3490" t="s">
        <v>135</v>
      </c>
      <c r="D48" s="2046">
        <f t="shared" ref="D48:H48" si="41">+D49</f>
        <v>0</v>
      </c>
      <c r="E48" s="2048">
        <f t="shared" si="41"/>
        <v>0</v>
      </c>
      <c r="F48" s="2048">
        <f t="shared" si="41"/>
        <v>0</v>
      </c>
      <c r="G48" s="2063">
        <f t="shared" si="41"/>
        <v>0</v>
      </c>
      <c r="H48" s="2086">
        <f t="shared" si="41"/>
        <v>0</v>
      </c>
      <c r="I48" s="2046">
        <f t="shared" si="39"/>
        <v>0</v>
      </c>
      <c r="J48" s="2047" t="e">
        <f t="shared" si="40"/>
        <v>#DIV/0!</v>
      </c>
      <c r="K48" s="2063">
        <f>+K49</f>
        <v>0</v>
      </c>
      <c r="L48" s="2086">
        <v>0</v>
      </c>
      <c r="M48" s="2063">
        <f t="shared" si="32"/>
        <v>0</v>
      </c>
      <c r="N48" s="3188"/>
      <c r="O48" s="1843"/>
    </row>
    <row r="49" spans="1:15" s="1844" customFormat="1" ht="12.75" hidden="1" customHeight="1" x14ac:dyDescent="0.2">
      <c r="A49" s="3484"/>
      <c r="B49" s="2087" t="s">
        <v>7</v>
      </c>
      <c r="C49" s="3188"/>
      <c r="D49" s="1636">
        <f>+E49+F49+G49+H49</f>
        <v>0</v>
      </c>
      <c r="E49" s="1637"/>
      <c r="F49" s="1637"/>
      <c r="G49" s="2066">
        <v>0</v>
      </c>
      <c r="H49" s="2088">
        <v>0</v>
      </c>
      <c r="I49" s="1636">
        <f t="shared" si="39"/>
        <v>0</v>
      </c>
      <c r="J49" s="2089" t="e">
        <f t="shared" si="40"/>
        <v>#DIV/0!</v>
      </c>
      <c r="K49" s="2066">
        <v>0</v>
      </c>
      <c r="L49" s="2088">
        <v>0</v>
      </c>
      <c r="M49" s="2066">
        <f t="shared" si="32"/>
        <v>0</v>
      </c>
      <c r="N49" s="3188"/>
      <c r="O49" s="1843"/>
    </row>
    <row r="50" spans="1:15" s="1844" customFormat="1" ht="12.75" hidden="1" customHeight="1" x14ac:dyDescent="0.2">
      <c r="A50" s="3484"/>
      <c r="B50" s="1837" t="s">
        <v>12</v>
      </c>
      <c r="C50" s="3188"/>
      <c r="D50" s="2050">
        <f>+D51</f>
        <v>0</v>
      </c>
      <c r="E50" s="2052">
        <f>+E51</f>
        <v>0</v>
      </c>
      <c r="F50" s="2052">
        <f>F51</f>
        <v>0</v>
      </c>
      <c r="G50" s="1933">
        <f>G51</f>
        <v>0</v>
      </c>
      <c r="H50" s="2090">
        <f>H51</f>
        <v>0</v>
      </c>
      <c r="I50" s="2050">
        <f t="shared" si="39"/>
        <v>0</v>
      </c>
      <c r="J50" s="2051" t="e">
        <f t="shared" si="40"/>
        <v>#DIV/0!</v>
      </c>
      <c r="K50" s="1933">
        <f>K51</f>
        <v>0</v>
      </c>
      <c r="L50" s="2090">
        <v>0</v>
      </c>
      <c r="M50" s="1933">
        <f t="shared" si="32"/>
        <v>0</v>
      </c>
      <c r="N50" s="3188"/>
      <c r="O50" s="1843"/>
    </row>
    <row r="51" spans="1:15" s="1844" customFormat="1" ht="12.75" hidden="1" customHeight="1" x14ac:dyDescent="0.2">
      <c r="A51" s="3484"/>
      <c r="B51" s="2044" t="s">
        <v>14</v>
      </c>
      <c r="C51" s="3188"/>
      <c r="D51" s="1636">
        <f>+E51+F51+G51+H51</f>
        <v>0</v>
      </c>
      <c r="E51" s="1045"/>
      <c r="F51" s="1045"/>
      <c r="G51" s="260">
        <v>0</v>
      </c>
      <c r="H51" s="251">
        <v>0</v>
      </c>
      <c r="I51" s="1636">
        <f t="shared" si="39"/>
        <v>0</v>
      </c>
      <c r="J51" s="2089" t="e">
        <f t="shared" si="40"/>
        <v>#DIV/0!</v>
      </c>
      <c r="K51" s="260">
        <v>0</v>
      </c>
      <c r="L51" s="2088">
        <v>0</v>
      </c>
      <c r="M51" s="260">
        <f t="shared" si="32"/>
        <v>0</v>
      </c>
      <c r="N51" s="3188"/>
      <c r="O51" s="1843"/>
    </row>
    <row r="52" spans="1:15" s="1844" customFormat="1" ht="12.75" hidden="1" customHeight="1" x14ac:dyDescent="0.2">
      <c r="A52" s="3132"/>
      <c r="B52" s="220" t="s">
        <v>16</v>
      </c>
      <c r="C52" s="1860"/>
      <c r="D52" s="2018">
        <f>+D53+D55</f>
        <v>0</v>
      </c>
      <c r="E52" s="2020">
        <f>+E53+E55</f>
        <v>0</v>
      </c>
      <c r="F52" s="2020">
        <f>F53+F55</f>
        <v>0</v>
      </c>
      <c r="G52" s="2060">
        <f>G53+G55</f>
        <v>0</v>
      </c>
      <c r="H52" s="2083">
        <f>H53+H55</f>
        <v>0</v>
      </c>
      <c r="I52" s="2018">
        <f t="shared" si="39"/>
        <v>0</v>
      </c>
      <c r="J52" s="2084" t="e">
        <f t="shared" si="40"/>
        <v>#DIV/0!</v>
      </c>
      <c r="K52" s="2060">
        <f>K53+K55</f>
        <v>0</v>
      </c>
      <c r="L52" s="2083">
        <v>0</v>
      </c>
      <c r="M52" s="2060">
        <f t="shared" si="32"/>
        <v>0</v>
      </c>
      <c r="N52" s="3188"/>
      <c r="O52" s="1843"/>
    </row>
    <row r="53" spans="1:15" s="1844" customFormat="1" ht="12.75" hidden="1" customHeight="1" x14ac:dyDescent="0.2">
      <c r="A53" s="3132"/>
      <c r="B53" s="351" t="s">
        <v>17</v>
      </c>
      <c r="C53" s="3490" t="s">
        <v>135</v>
      </c>
      <c r="D53" s="2046">
        <f>+D54</f>
        <v>0</v>
      </c>
      <c r="E53" s="2048">
        <f>+E54</f>
        <v>0</v>
      </c>
      <c r="F53" s="2048">
        <f>F54</f>
        <v>0</v>
      </c>
      <c r="G53" s="2063">
        <f>G54</f>
        <v>0</v>
      </c>
      <c r="H53" s="2086">
        <f>H54</f>
        <v>0</v>
      </c>
      <c r="I53" s="2046">
        <f t="shared" si="39"/>
        <v>0</v>
      </c>
      <c r="J53" s="2047" t="e">
        <f t="shared" si="40"/>
        <v>#DIV/0!</v>
      </c>
      <c r="K53" s="2063">
        <f>K54</f>
        <v>0</v>
      </c>
      <c r="L53" s="2086">
        <v>0</v>
      </c>
      <c r="M53" s="2063">
        <f t="shared" si="32"/>
        <v>0</v>
      </c>
      <c r="N53" s="3188"/>
      <c r="O53" s="1843"/>
    </row>
    <row r="54" spans="1:15" s="1844" customFormat="1" ht="12.75" hidden="1" customHeight="1" x14ac:dyDescent="0.2">
      <c r="A54" s="3132"/>
      <c r="B54" s="2087" t="s">
        <v>7</v>
      </c>
      <c r="C54" s="3188"/>
      <c r="D54" s="1636">
        <f>+E54+F54+G54+H54</f>
        <v>0</v>
      </c>
      <c r="E54" s="1637"/>
      <c r="F54" s="1637"/>
      <c r="G54" s="2066">
        <v>0</v>
      </c>
      <c r="H54" s="2088">
        <v>0</v>
      </c>
      <c r="I54" s="1636">
        <f t="shared" si="39"/>
        <v>0</v>
      </c>
      <c r="J54" s="2089" t="e">
        <f t="shared" si="40"/>
        <v>#DIV/0!</v>
      </c>
      <c r="K54" s="2066">
        <v>0</v>
      </c>
      <c r="L54" s="2088">
        <v>0</v>
      </c>
      <c r="M54" s="2066">
        <f t="shared" si="32"/>
        <v>0</v>
      </c>
      <c r="N54" s="3188"/>
      <c r="O54" s="1843"/>
    </row>
    <row r="55" spans="1:15" s="1844" customFormat="1" ht="12.75" hidden="1" customHeight="1" x14ac:dyDescent="0.2">
      <c r="A55" s="3132"/>
      <c r="B55" s="1837" t="s">
        <v>12</v>
      </c>
      <c r="C55" s="3188"/>
      <c r="D55" s="2050">
        <f>+D56</f>
        <v>0</v>
      </c>
      <c r="E55" s="2052">
        <f>+E56</f>
        <v>0</v>
      </c>
      <c r="F55" s="2052">
        <f>F56</f>
        <v>0</v>
      </c>
      <c r="G55" s="1933">
        <f>G56</f>
        <v>0</v>
      </c>
      <c r="H55" s="2090">
        <f>H56</f>
        <v>0</v>
      </c>
      <c r="I55" s="2050">
        <f t="shared" si="39"/>
        <v>0</v>
      </c>
      <c r="J55" s="2051" t="e">
        <f t="shared" si="40"/>
        <v>#DIV/0!</v>
      </c>
      <c r="K55" s="1933">
        <f>K56</f>
        <v>0</v>
      </c>
      <c r="L55" s="2090">
        <v>0</v>
      </c>
      <c r="M55" s="1933">
        <f t="shared" si="32"/>
        <v>0</v>
      </c>
      <c r="N55" s="3188"/>
      <c r="O55" s="1843"/>
    </row>
    <row r="56" spans="1:15" s="1844" customFormat="1" ht="12.75" hidden="1" customHeight="1" thickBot="1" x14ac:dyDescent="0.25">
      <c r="A56" s="3133"/>
      <c r="B56" s="2053" t="s">
        <v>14</v>
      </c>
      <c r="C56" s="3189"/>
      <c r="D56" s="2077">
        <f>+E56+F56+G56+H56</f>
        <v>0</v>
      </c>
      <c r="E56" s="1201"/>
      <c r="F56" s="1201"/>
      <c r="G56" s="819">
        <v>0</v>
      </c>
      <c r="H56" s="830">
        <v>0</v>
      </c>
      <c r="I56" s="2077">
        <f t="shared" si="39"/>
        <v>0</v>
      </c>
      <c r="J56" s="2091" t="e">
        <f t="shared" si="40"/>
        <v>#DIV/0!</v>
      </c>
      <c r="K56" s="819">
        <v>0</v>
      </c>
      <c r="L56" s="2092">
        <v>0</v>
      </c>
      <c r="M56" s="819">
        <f t="shared" si="32"/>
        <v>0</v>
      </c>
      <c r="N56" s="3189"/>
      <c r="O56" s="1843"/>
    </row>
    <row r="57" spans="1:15" s="1844" customFormat="1" ht="67.5" hidden="1" customHeight="1" x14ac:dyDescent="0.2">
      <c r="A57" s="3502" t="s">
        <v>41</v>
      </c>
      <c r="B57" s="2026" t="s">
        <v>207</v>
      </c>
      <c r="C57" s="2027" t="s">
        <v>166</v>
      </c>
      <c r="D57" s="2028"/>
      <c r="E57" s="2029"/>
      <c r="F57" s="2029"/>
      <c r="G57" s="2029"/>
      <c r="H57" s="2030"/>
      <c r="I57" s="2028"/>
      <c r="J57" s="2080"/>
      <c r="K57" s="2029"/>
      <c r="L57" s="2093"/>
      <c r="M57" s="2029"/>
      <c r="N57" s="3492" t="s">
        <v>147</v>
      </c>
      <c r="O57" s="1843"/>
    </row>
    <row r="58" spans="1:15" s="1844" customFormat="1" ht="12.75" hidden="1" customHeight="1" x14ac:dyDescent="0.2">
      <c r="A58" s="3503"/>
      <c r="B58" s="220" t="s">
        <v>2</v>
      </c>
      <c r="C58" s="2032"/>
      <c r="D58" s="2018">
        <f t="shared" ref="D58:H58" si="42">+D59+D61</f>
        <v>0</v>
      </c>
      <c r="E58" s="2020">
        <f t="shared" si="42"/>
        <v>0</v>
      </c>
      <c r="F58" s="2060">
        <f t="shared" si="42"/>
        <v>0</v>
      </c>
      <c r="G58" s="2060">
        <f t="shared" si="42"/>
        <v>0</v>
      </c>
      <c r="H58" s="2083">
        <f t="shared" si="42"/>
        <v>0</v>
      </c>
      <c r="I58" s="2018">
        <f t="shared" ref="I58:I67" si="43">+K58+E58+F58</f>
        <v>0</v>
      </c>
      <c r="J58" s="2084" t="e">
        <f t="shared" ref="J58:J67" si="44">I58/D58*100</f>
        <v>#DIV/0!</v>
      </c>
      <c r="K58" s="2060">
        <f>+K59+K61</f>
        <v>0</v>
      </c>
      <c r="L58" s="2094">
        <v>0</v>
      </c>
      <c r="M58" s="2060">
        <f t="shared" si="32"/>
        <v>0</v>
      </c>
      <c r="N58" s="3188"/>
      <c r="O58" s="1843"/>
    </row>
    <row r="59" spans="1:15" s="1844" customFormat="1" ht="12.75" hidden="1" customHeight="1" thickBot="1" x14ac:dyDescent="0.25">
      <c r="A59" s="3503"/>
      <c r="B59" s="2095" t="s">
        <v>17</v>
      </c>
      <c r="C59" s="3505" t="s">
        <v>135</v>
      </c>
      <c r="D59" s="2096">
        <f t="shared" ref="D59:H59" si="45">+D60</f>
        <v>0</v>
      </c>
      <c r="E59" s="2097">
        <f t="shared" si="45"/>
        <v>0</v>
      </c>
      <c r="F59" s="2098">
        <f t="shared" si="45"/>
        <v>0</v>
      </c>
      <c r="G59" s="2098">
        <f t="shared" si="45"/>
        <v>0</v>
      </c>
      <c r="H59" s="2086">
        <f t="shared" si="45"/>
        <v>0</v>
      </c>
      <c r="I59" s="2046">
        <f t="shared" si="43"/>
        <v>0</v>
      </c>
      <c r="J59" s="2047" t="e">
        <f t="shared" si="44"/>
        <v>#DIV/0!</v>
      </c>
      <c r="K59" s="2063">
        <f>+K60</f>
        <v>0</v>
      </c>
      <c r="L59" s="2099">
        <v>0</v>
      </c>
      <c r="M59" s="2063">
        <f t="shared" si="32"/>
        <v>0</v>
      </c>
      <c r="N59" s="3189"/>
      <c r="O59" s="1843"/>
    </row>
    <row r="60" spans="1:15" s="1844" customFormat="1" ht="12.75" hidden="1" customHeight="1" x14ac:dyDescent="0.2">
      <c r="A60" s="3503"/>
      <c r="B60" s="2100" t="s">
        <v>7</v>
      </c>
      <c r="C60" s="3317"/>
      <c r="D60" s="1636">
        <f>+E60+F60+G60+H60</f>
        <v>0</v>
      </c>
      <c r="E60" s="1637"/>
      <c r="F60" s="2066">
        <v>0</v>
      </c>
      <c r="G60" s="2066">
        <v>0</v>
      </c>
      <c r="H60" s="2101">
        <v>0</v>
      </c>
      <c r="I60" s="1636">
        <f t="shared" si="43"/>
        <v>0</v>
      </c>
      <c r="J60" s="2089" t="e">
        <f t="shared" si="44"/>
        <v>#DIV/0!</v>
      </c>
      <c r="K60" s="2066">
        <v>0</v>
      </c>
      <c r="L60" s="2101">
        <v>0</v>
      </c>
      <c r="M60" s="2066">
        <f t="shared" si="32"/>
        <v>0</v>
      </c>
      <c r="N60" s="3317"/>
      <c r="O60" s="1843"/>
    </row>
    <row r="61" spans="1:15" s="1844" customFormat="1" ht="12.75" hidden="1" customHeight="1" x14ac:dyDescent="0.2">
      <c r="A61" s="3503"/>
      <c r="B61" s="2074" t="s">
        <v>12</v>
      </c>
      <c r="C61" s="3188"/>
      <c r="D61" s="2050">
        <f>+D62</f>
        <v>0</v>
      </c>
      <c r="E61" s="2052">
        <f>+E62</f>
        <v>0</v>
      </c>
      <c r="F61" s="1933">
        <f>F62</f>
        <v>0</v>
      </c>
      <c r="G61" s="1933">
        <f>G62</f>
        <v>0</v>
      </c>
      <c r="H61" s="2102">
        <f>H62</f>
        <v>0</v>
      </c>
      <c r="I61" s="2050">
        <f t="shared" si="43"/>
        <v>0</v>
      </c>
      <c r="J61" s="2051" t="e">
        <f t="shared" si="44"/>
        <v>#DIV/0!</v>
      </c>
      <c r="K61" s="1933">
        <f>K62</f>
        <v>0</v>
      </c>
      <c r="L61" s="2102">
        <v>0</v>
      </c>
      <c r="M61" s="1933">
        <f t="shared" si="32"/>
        <v>0</v>
      </c>
      <c r="N61" s="3188"/>
      <c r="O61" s="1843"/>
    </row>
    <row r="62" spans="1:15" s="1844" customFormat="1" ht="12.75" hidden="1" customHeight="1" x14ac:dyDescent="0.2">
      <c r="A62" s="3503"/>
      <c r="B62" s="2103" t="s">
        <v>14</v>
      </c>
      <c r="C62" s="3188"/>
      <c r="D62" s="1636">
        <f>+E62+F62+G62+H62</f>
        <v>0</v>
      </c>
      <c r="E62" s="1045"/>
      <c r="F62" s="260">
        <v>0</v>
      </c>
      <c r="G62" s="260">
        <v>0</v>
      </c>
      <c r="H62" s="2104">
        <v>0</v>
      </c>
      <c r="I62" s="1636">
        <f t="shared" si="43"/>
        <v>0</v>
      </c>
      <c r="J62" s="2089" t="e">
        <f t="shared" si="44"/>
        <v>#DIV/0!</v>
      </c>
      <c r="K62" s="260">
        <v>0</v>
      </c>
      <c r="L62" s="2101">
        <v>0</v>
      </c>
      <c r="M62" s="260">
        <f t="shared" si="32"/>
        <v>0</v>
      </c>
      <c r="N62" s="3188"/>
      <c r="O62" s="1843"/>
    </row>
    <row r="63" spans="1:15" s="1844" customFormat="1" ht="12.75" hidden="1" customHeight="1" thickBot="1" x14ac:dyDescent="0.25">
      <c r="A63" s="3227"/>
      <c r="B63" s="806" t="s">
        <v>16</v>
      </c>
      <c r="C63" s="1860"/>
      <c r="D63" s="2018">
        <f>+D64+D66</f>
        <v>0</v>
      </c>
      <c r="E63" s="2020">
        <f>+E64+E66</f>
        <v>0</v>
      </c>
      <c r="F63" s="2060">
        <f>F64+F66</f>
        <v>0</v>
      </c>
      <c r="G63" s="2060">
        <f>G64+G66</f>
        <v>0</v>
      </c>
      <c r="H63" s="2094">
        <f>H64+H66</f>
        <v>0</v>
      </c>
      <c r="I63" s="2018">
        <f t="shared" si="43"/>
        <v>0</v>
      </c>
      <c r="J63" s="2084" t="e">
        <f t="shared" si="44"/>
        <v>#DIV/0!</v>
      </c>
      <c r="K63" s="2060">
        <f>K64+K66</f>
        <v>0</v>
      </c>
      <c r="L63" s="2094">
        <v>0</v>
      </c>
      <c r="M63" s="2060">
        <f t="shared" si="32"/>
        <v>0</v>
      </c>
      <c r="N63" s="3189"/>
      <c r="O63" s="1843"/>
    </row>
    <row r="64" spans="1:15" s="1844" customFormat="1" ht="12.75" hidden="1" customHeight="1" x14ac:dyDescent="0.2">
      <c r="A64" s="3227"/>
      <c r="B64" s="2095" t="s">
        <v>17</v>
      </c>
      <c r="C64" s="3402" t="s">
        <v>135</v>
      </c>
      <c r="D64" s="2046">
        <f>+D65</f>
        <v>0</v>
      </c>
      <c r="E64" s="2048">
        <f>+E65</f>
        <v>0</v>
      </c>
      <c r="F64" s="2063">
        <f>F65</f>
        <v>0</v>
      </c>
      <c r="G64" s="2063">
        <f>G65</f>
        <v>0</v>
      </c>
      <c r="H64" s="2099">
        <f>H65</f>
        <v>0</v>
      </c>
      <c r="I64" s="2046">
        <f t="shared" si="43"/>
        <v>0</v>
      </c>
      <c r="J64" s="2047" t="e">
        <f t="shared" si="44"/>
        <v>#DIV/0!</v>
      </c>
      <c r="K64" s="2063">
        <f>K65</f>
        <v>0</v>
      </c>
      <c r="L64" s="2099">
        <v>0</v>
      </c>
      <c r="M64" s="2063">
        <f t="shared" si="32"/>
        <v>0</v>
      </c>
      <c r="N64" s="3504"/>
      <c r="O64" s="1843"/>
    </row>
    <row r="65" spans="1:18" s="1844" customFormat="1" ht="12.75" hidden="1" customHeight="1" x14ac:dyDescent="0.2">
      <c r="A65" s="3227"/>
      <c r="B65" s="2100" t="s">
        <v>7</v>
      </c>
      <c r="C65" s="3188"/>
      <c r="D65" s="1636">
        <f>+E65+F65+G65+H65</f>
        <v>0</v>
      </c>
      <c r="E65" s="1637"/>
      <c r="F65" s="2066">
        <v>0</v>
      </c>
      <c r="G65" s="2066">
        <v>0</v>
      </c>
      <c r="H65" s="2101">
        <v>0</v>
      </c>
      <c r="I65" s="1636">
        <f t="shared" si="43"/>
        <v>0</v>
      </c>
      <c r="J65" s="2089" t="e">
        <f t="shared" si="44"/>
        <v>#DIV/0!</v>
      </c>
      <c r="K65" s="2066">
        <v>0</v>
      </c>
      <c r="L65" s="2101">
        <v>0</v>
      </c>
      <c r="M65" s="2066">
        <f t="shared" si="32"/>
        <v>0</v>
      </c>
      <c r="N65" s="3188"/>
      <c r="O65" s="1843"/>
    </row>
    <row r="66" spans="1:18" s="1844" customFormat="1" ht="12.75" hidden="1" customHeight="1" x14ac:dyDescent="0.2">
      <c r="A66" s="3227"/>
      <c r="B66" s="2074" t="s">
        <v>12</v>
      </c>
      <c r="C66" s="3188"/>
      <c r="D66" s="2050">
        <f>+D67</f>
        <v>0</v>
      </c>
      <c r="E66" s="2052">
        <f>+E67</f>
        <v>0</v>
      </c>
      <c r="F66" s="1933">
        <f>F67</f>
        <v>0</v>
      </c>
      <c r="G66" s="1933">
        <f>G67</f>
        <v>0</v>
      </c>
      <c r="H66" s="2102">
        <f>H67</f>
        <v>0</v>
      </c>
      <c r="I66" s="2050">
        <f t="shared" si="43"/>
        <v>0</v>
      </c>
      <c r="J66" s="2051" t="e">
        <f t="shared" si="44"/>
        <v>#DIV/0!</v>
      </c>
      <c r="K66" s="1933">
        <f>K67</f>
        <v>0</v>
      </c>
      <c r="L66" s="2102">
        <v>0</v>
      </c>
      <c r="M66" s="1933">
        <f t="shared" si="32"/>
        <v>0</v>
      </c>
      <c r="N66" s="3188"/>
      <c r="O66" s="1843"/>
    </row>
    <row r="67" spans="1:18" s="1844" customFormat="1" ht="13.5" hidden="1" thickBot="1" x14ac:dyDescent="0.25">
      <c r="A67" s="3228"/>
      <c r="B67" s="2076" t="s">
        <v>14</v>
      </c>
      <c r="C67" s="3189"/>
      <c r="D67" s="2077">
        <f>+E67+F67+G67+H67</f>
        <v>0</v>
      </c>
      <c r="E67" s="1201"/>
      <c r="F67" s="819">
        <v>0</v>
      </c>
      <c r="G67" s="819">
        <v>0</v>
      </c>
      <c r="H67" s="2105">
        <v>0</v>
      </c>
      <c r="I67" s="2077">
        <f t="shared" si="43"/>
        <v>0</v>
      </c>
      <c r="J67" s="2091" t="e">
        <f t="shared" si="44"/>
        <v>#DIV/0!</v>
      </c>
      <c r="K67" s="819">
        <v>0</v>
      </c>
      <c r="L67" s="2106">
        <v>0</v>
      </c>
      <c r="M67" s="819">
        <f t="shared" si="32"/>
        <v>0</v>
      </c>
      <c r="N67" s="3189"/>
      <c r="O67" s="1843"/>
    </row>
    <row r="68" spans="1:18" s="1844" customFormat="1" ht="29.25" customHeight="1" x14ac:dyDescent="0.2">
      <c r="A68" s="3486" t="s">
        <v>40</v>
      </c>
      <c r="B68" s="2107" t="s">
        <v>148</v>
      </c>
      <c r="C68" s="2027" t="s">
        <v>171</v>
      </c>
      <c r="D68" s="2028"/>
      <c r="E68" s="2029"/>
      <c r="F68" s="2029"/>
      <c r="G68" s="2029"/>
      <c r="H68" s="2108"/>
      <c r="I68" s="2028"/>
      <c r="J68" s="2031"/>
      <c r="K68" s="2029"/>
      <c r="L68" s="2109"/>
      <c r="M68" s="2029"/>
      <c r="N68" s="3536" t="s">
        <v>332</v>
      </c>
      <c r="O68" s="1843"/>
      <c r="R68" s="2110"/>
    </row>
    <row r="69" spans="1:18" s="1844" customFormat="1" ht="12.75" customHeight="1" x14ac:dyDescent="0.2">
      <c r="A69" s="3484"/>
      <c r="B69" s="806" t="s">
        <v>2</v>
      </c>
      <c r="C69" s="2032"/>
      <c r="D69" s="2034">
        <f>+D70</f>
        <v>130707776</v>
      </c>
      <c r="E69" s="2033">
        <f t="shared" ref="E69:H70" si="46">+E70</f>
        <v>64496909</v>
      </c>
      <c r="F69" s="2033">
        <f t="shared" si="46"/>
        <v>18729247</v>
      </c>
      <c r="G69" s="2033">
        <f t="shared" si="46"/>
        <v>24787422</v>
      </c>
      <c r="H69" s="2111">
        <f t="shared" si="46"/>
        <v>22694198</v>
      </c>
      <c r="I69" s="2034">
        <f t="shared" ref="I69:I74" si="47">+K69+E69+F69</f>
        <v>87975514</v>
      </c>
      <c r="J69" s="2035">
        <f t="shared" ref="J69:J74" si="48">I69/D69*100</f>
        <v>67.307023875916911</v>
      </c>
      <c r="K69" s="2033">
        <f>+K70</f>
        <v>4749358</v>
      </c>
      <c r="L69" s="2112">
        <f t="shared" ref="L69:L73" si="49">K69/G69*100</f>
        <v>19.160354796073591</v>
      </c>
      <c r="M69" s="2033">
        <f t="shared" si="32"/>
        <v>-7644353</v>
      </c>
      <c r="N69" s="3537"/>
      <c r="O69" s="1843"/>
      <c r="P69" s="1843"/>
      <c r="Q69" s="1843"/>
      <c r="R69" s="1843"/>
    </row>
    <row r="70" spans="1:18" s="1844" customFormat="1" ht="12.75" customHeight="1" x14ac:dyDescent="0.2">
      <c r="A70" s="3484"/>
      <c r="B70" s="2074" t="s">
        <v>12</v>
      </c>
      <c r="C70" s="3188" t="s">
        <v>135</v>
      </c>
      <c r="D70" s="1928">
        <f>+D71</f>
        <v>130707776</v>
      </c>
      <c r="E70" s="1929">
        <f t="shared" si="46"/>
        <v>64496909</v>
      </c>
      <c r="F70" s="1929">
        <f t="shared" si="46"/>
        <v>18729247</v>
      </c>
      <c r="G70" s="1929">
        <f t="shared" si="46"/>
        <v>24787422</v>
      </c>
      <c r="H70" s="2113">
        <f t="shared" si="46"/>
        <v>22694198</v>
      </c>
      <c r="I70" s="2114">
        <f t="shared" si="47"/>
        <v>87975514</v>
      </c>
      <c r="J70" s="2115">
        <f t="shared" si="48"/>
        <v>67.307023875916911</v>
      </c>
      <c r="K70" s="2116">
        <f>+K71</f>
        <v>4749358</v>
      </c>
      <c r="L70" s="2117">
        <f t="shared" si="49"/>
        <v>19.160354796073591</v>
      </c>
      <c r="M70" s="1929">
        <f t="shared" si="32"/>
        <v>-7644353</v>
      </c>
      <c r="N70" s="3537"/>
      <c r="O70" s="1843"/>
      <c r="P70" s="1843"/>
      <c r="Q70" s="1843"/>
      <c r="R70" s="1843"/>
    </row>
    <row r="71" spans="1:18" s="1844" customFormat="1" ht="12.75" customHeight="1" x14ac:dyDescent="0.2">
      <c r="A71" s="3484"/>
      <c r="B71" s="2103" t="s">
        <v>14</v>
      </c>
      <c r="C71" s="3188"/>
      <c r="D71" s="2039">
        <f>+E71+F71+G71+H71</f>
        <v>130707776</v>
      </c>
      <c r="E71" s="1046">
        <f>10748789+22033262+13729802+17985056</f>
        <v>64496909</v>
      </c>
      <c r="F71" s="1046">
        <v>18729247</v>
      </c>
      <c r="G71" s="1046">
        <v>24787422</v>
      </c>
      <c r="H71" s="1180">
        <v>22694198</v>
      </c>
      <c r="I71" s="1177">
        <f t="shared" si="47"/>
        <v>87975514</v>
      </c>
      <c r="J71" s="2042">
        <f t="shared" si="48"/>
        <v>67.307023875916911</v>
      </c>
      <c r="K71" s="1046">
        <v>4749358</v>
      </c>
      <c r="L71" s="2118">
        <f>K71/G71*100</f>
        <v>19.160354796073591</v>
      </c>
      <c r="M71" s="1046">
        <f t="shared" si="32"/>
        <v>-7644353</v>
      </c>
      <c r="N71" s="3537"/>
      <c r="O71" s="1843"/>
    </row>
    <row r="72" spans="1:18" s="1844" customFormat="1" ht="12.75" customHeight="1" x14ac:dyDescent="0.2">
      <c r="A72" s="3132"/>
      <c r="B72" s="220" t="s">
        <v>16</v>
      </c>
      <c r="C72" s="2119"/>
      <c r="D72" s="2120">
        <f t="shared" ref="D72:H73" si="50">+D73</f>
        <v>130707776</v>
      </c>
      <c r="E72" s="2121">
        <f t="shared" si="50"/>
        <v>64496909</v>
      </c>
      <c r="F72" s="2121">
        <f t="shared" si="50"/>
        <v>18729247</v>
      </c>
      <c r="G72" s="2121">
        <f t="shared" si="50"/>
        <v>24500000</v>
      </c>
      <c r="H72" s="2045">
        <f t="shared" si="50"/>
        <v>22981620</v>
      </c>
      <c r="I72" s="2034">
        <f t="shared" si="47"/>
        <v>90576156</v>
      </c>
      <c r="J72" s="2112">
        <f t="shared" si="48"/>
        <v>69.296685149015161</v>
      </c>
      <c r="K72" s="2033">
        <f>+K73</f>
        <v>7350000</v>
      </c>
      <c r="L72" s="2112">
        <f t="shared" si="49"/>
        <v>30</v>
      </c>
      <c r="M72" s="2033">
        <f t="shared" si="32"/>
        <v>-4900000</v>
      </c>
      <c r="N72" s="3537"/>
      <c r="O72" s="1843"/>
    </row>
    <row r="73" spans="1:18" s="1844" customFormat="1" ht="12.75" customHeight="1" x14ac:dyDescent="0.2">
      <c r="A73" s="3132"/>
      <c r="B73" s="2074" t="s">
        <v>12</v>
      </c>
      <c r="C73" s="3188" t="s">
        <v>34</v>
      </c>
      <c r="D73" s="1928">
        <f t="shared" si="50"/>
        <v>130707776</v>
      </c>
      <c r="E73" s="1929">
        <f t="shared" si="50"/>
        <v>64496909</v>
      </c>
      <c r="F73" s="1929">
        <f t="shared" si="50"/>
        <v>18729247</v>
      </c>
      <c r="G73" s="1929">
        <f t="shared" si="50"/>
        <v>24500000</v>
      </c>
      <c r="H73" s="1932">
        <f t="shared" si="50"/>
        <v>22981620</v>
      </c>
      <c r="I73" s="2114">
        <f t="shared" si="47"/>
        <v>90576156</v>
      </c>
      <c r="J73" s="2115">
        <f t="shared" si="48"/>
        <v>69.296685149015161</v>
      </c>
      <c r="K73" s="2116">
        <f>+K74</f>
        <v>7350000</v>
      </c>
      <c r="L73" s="2117">
        <f t="shared" si="49"/>
        <v>30</v>
      </c>
      <c r="M73" s="1929">
        <f t="shared" si="32"/>
        <v>-4900000</v>
      </c>
      <c r="N73" s="3537"/>
      <c r="O73" s="1843"/>
    </row>
    <row r="74" spans="1:18" s="1844" customFormat="1" ht="12.75" customHeight="1" thickBot="1" x14ac:dyDescent="0.25">
      <c r="A74" s="3133"/>
      <c r="B74" s="2076" t="s">
        <v>14</v>
      </c>
      <c r="C74" s="3189"/>
      <c r="D74" s="2054">
        <f>+E74+F74+G74+H74</f>
        <v>130707776</v>
      </c>
      <c r="E74" s="1200">
        <f>10739103+22042948+13729802+17985056</f>
        <v>64496909</v>
      </c>
      <c r="F74" s="1200">
        <v>18729247</v>
      </c>
      <c r="G74" s="1200">
        <v>24500000</v>
      </c>
      <c r="H74" s="2055">
        <f>21031620+1950000</f>
        <v>22981620</v>
      </c>
      <c r="I74" s="2122">
        <f t="shared" si="47"/>
        <v>90576156</v>
      </c>
      <c r="J74" s="2123">
        <f t="shared" si="48"/>
        <v>69.296685149015161</v>
      </c>
      <c r="K74" s="1200">
        <v>7350000</v>
      </c>
      <c r="L74" s="2124">
        <f>K74/G74*100</f>
        <v>30</v>
      </c>
      <c r="M74" s="1200">
        <f t="shared" si="32"/>
        <v>-4900000</v>
      </c>
      <c r="N74" s="3403"/>
      <c r="O74" s="1843"/>
    </row>
    <row r="75" spans="1:18" s="1844" customFormat="1" ht="31.5" customHeight="1" x14ac:dyDescent="0.2">
      <c r="A75" s="3486" t="s">
        <v>41</v>
      </c>
      <c r="B75" s="2107" t="s">
        <v>234</v>
      </c>
      <c r="C75" s="2027" t="s">
        <v>166</v>
      </c>
      <c r="D75" s="2028"/>
      <c r="E75" s="2029"/>
      <c r="F75" s="2029"/>
      <c r="G75" s="2029"/>
      <c r="H75" s="2030"/>
      <c r="I75" s="2028"/>
      <c r="J75" s="2031"/>
      <c r="K75" s="2029"/>
      <c r="L75" s="2109"/>
      <c r="M75" s="2029"/>
      <c r="N75" s="3536" t="s">
        <v>333</v>
      </c>
      <c r="O75" s="1843"/>
    </row>
    <row r="76" spans="1:18" s="1844" customFormat="1" ht="12.75" customHeight="1" x14ac:dyDescent="0.2">
      <c r="A76" s="3484"/>
      <c r="B76" s="806" t="s">
        <v>2</v>
      </c>
      <c r="C76" s="2032"/>
      <c r="D76" s="2034">
        <f>+D77</f>
        <v>2318751</v>
      </c>
      <c r="E76" s="2033">
        <f t="shared" ref="E76:H77" si="51">+E77</f>
        <v>1154571</v>
      </c>
      <c r="F76" s="2033">
        <f t="shared" si="51"/>
        <v>114180</v>
      </c>
      <c r="G76" s="2033">
        <f t="shared" si="51"/>
        <v>500000</v>
      </c>
      <c r="H76" s="2045">
        <f t="shared" si="51"/>
        <v>550000</v>
      </c>
      <c r="I76" s="2034">
        <f t="shared" ref="I76:I81" si="52">+K76+E76+F76</f>
        <v>1269069</v>
      </c>
      <c r="J76" s="2035">
        <f t="shared" ref="J76:J81" si="53">I76/D76*100</f>
        <v>54.730714940931556</v>
      </c>
      <c r="K76" s="2033">
        <f>+K77</f>
        <v>318</v>
      </c>
      <c r="L76" s="2112">
        <f t="shared" ref="L76:L81" si="54">K76/G76*100</f>
        <v>6.359999999999999E-2</v>
      </c>
      <c r="M76" s="2020">
        <f t="shared" ref="M76:M132" si="55">+K76-G76*0.5</f>
        <v>-249682</v>
      </c>
      <c r="N76" s="3537"/>
      <c r="O76" s="1843"/>
    </row>
    <row r="77" spans="1:18" s="1844" customFormat="1" ht="12.75" customHeight="1" x14ac:dyDescent="0.2">
      <c r="A77" s="3484"/>
      <c r="B77" s="2074" t="s">
        <v>12</v>
      </c>
      <c r="C77" s="3188" t="s">
        <v>135</v>
      </c>
      <c r="D77" s="1928">
        <f>+D78</f>
        <v>2318751</v>
      </c>
      <c r="E77" s="1929">
        <f t="shared" si="51"/>
        <v>1154571</v>
      </c>
      <c r="F77" s="1929">
        <f t="shared" si="51"/>
        <v>114180</v>
      </c>
      <c r="G77" s="1929">
        <f t="shared" si="51"/>
        <v>500000</v>
      </c>
      <c r="H77" s="1932">
        <f t="shared" si="51"/>
        <v>550000</v>
      </c>
      <c r="I77" s="2114">
        <f t="shared" si="52"/>
        <v>1269069</v>
      </c>
      <c r="J77" s="2115">
        <f t="shared" si="53"/>
        <v>54.730714940931556</v>
      </c>
      <c r="K77" s="2116">
        <f>+K78</f>
        <v>318</v>
      </c>
      <c r="L77" s="2117">
        <f t="shared" si="54"/>
        <v>6.359999999999999E-2</v>
      </c>
      <c r="M77" s="2052">
        <f t="shared" si="55"/>
        <v>-249682</v>
      </c>
      <c r="N77" s="3537"/>
      <c r="O77" s="1843"/>
    </row>
    <row r="78" spans="1:18" s="1844" customFormat="1" ht="12.75" customHeight="1" x14ac:dyDescent="0.2">
      <c r="A78" s="3484"/>
      <c r="B78" s="2103" t="s">
        <v>14</v>
      </c>
      <c r="C78" s="3188"/>
      <c r="D78" s="2039">
        <f>+E78+F78+G78+H78</f>
        <v>2318751</v>
      </c>
      <c r="E78" s="1046">
        <f>134277+392458+352091+275745</f>
        <v>1154571</v>
      </c>
      <c r="F78" s="1046">
        <v>114180</v>
      </c>
      <c r="G78" s="1046">
        <v>500000</v>
      </c>
      <c r="H78" s="417">
        <v>550000</v>
      </c>
      <c r="I78" s="1177">
        <f t="shared" si="52"/>
        <v>1269069</v>
      </c>
      <c r="J78" s="2042">
        <f t="shared" si="53"/>
        <v>54.730714940931556</v>
      </c>
      <c r="K78" s="1046">
        <v>318</v>
      </c>
      <c r="L78" s="2118">
        <f t="shared" si="54"/>
        <v>6.359999999999999E-2</v>
      </c>
      <c r="M78" s="1045">
        <f t="shared" si="55"/>
        <v>-249682</v>
      </c>
      <c r="N78" s="3537"/>
      <c r="O78" s="1843"/>
    </row>
    <row r="79" spans="1:18" s="1844" customFormat="1" ht="12.75" customHeight="1" x14ac:dyDescent="0.2">
      <c r="A79" s="3132"/>
      <c r="B79" s="806" t="s">
        <v>16</v>
      </c>
      <c r="C79" s="1860"/>
      <c r="D79" s="2034">
        <f t="shared" ref="D79:H80" si="56">+D80</f>
        <v>2318751</v>
      </c>
      <c r="E79" s="2033">
        <f t="shared" si="56"/>
        <v>1154571</v>
      </c>
      <c r="F79" s="2033">
        <f t="shared" si="56"/>
        <v>114180</v>
      </c>
      <c r="G79" s="2033">
        <f t="shared" si="56"/>
        <v>500000</v>
      </c>
      <c r="H79" s="2045">
        <f t="shared" si="56"/>
        <v>550000</v>
      </c>
      <c r="I79" s="2034">
        <f t="shared" si="52"/>
        <v>1418751</v>
      </c>
      <c r="J79" s="2035">
        <f t="shared" si="53"/>
        <v>61.186000566684399</v>
      </c>
      <c r="K79" s="2033">
        <f>+K80</f>
        <v>150000</v>
      </c>
      <c r="L79" s="2112">
        <f t="shared" si="54"/>
        <v>30</v>
      </c>
      <c r="M79" s="2020">
        <f t="shared" si="55"/>
        <v>-100000</v>
      </c>
      <c r="N79" s="3537"/>
      <c r="O79" s="1843"/>
    </row>
    <row r="80" spans="1:18" s="1844" customFormat="1" ht="12.75" customHeight="1" x14ac:dyDescent="0.2">
      <c r="A80" s="3132"/>
      <c r="B80" s="2074" t="s">
        <v>12</v>
      </c>
      <c r="C80" s="3188" t="s">
        <v>34</v>
      </c>
      <c r="D80" s="1928">
        <f t="shared" si="56"/>
        <v>2318751</v>
      </c>
      <c r="E80" s="1929">
        <f t="shared" si="56"/>
        <v>1154571</v>
      </c>
      <c r="F80" s="1929">
        <f t="shared" si="56"/>
        <v>114180</v>
      </c>
      <c r="G80" s="1929">
        <f t="shared" si="56"/>
        <v>500000</v>
      </c>
      <c r="H80" s="1932">
        <f t="shared" si="56"/>
        <v>550000</v>
      </c>
      <c r="I80" s="2114">
        <f t="shared" si="52"/>
        <v>1418751</v>
      </c>
      <c r="J80" s="2115">
        <f t="shared" si="53"/>
        <v>61.186000566684399</v>
      </c>
      <c r="K80" s="2116">
        <f>+K81</f>
        <v>150000</v>
      </c>
      <c r="L80" s="2117">
        <f t="shared" si="54"/>
        <v>30</v>
      </c>
      <c r="M80" s="2052">
        <f t="shared" si="55"/>
        <v>-100000</v>
      </c>
      <c r="N80" s="3537"/>
      <c r="O80" s="1843"/>
    </row>
    <row r="81" spans="1:15" s="1844" customFormat="1" ht="12.75" customHeight="1" thickBot="1" x14ac:dyDescent="0.25">
      <c r="A81" s="3133"/>
      <c r="B81" s="2076" t="s">
        <v>14</v>
      </c>
      <c r="C81" s="3189"/>
      <c r="D81" s="2054">
        <f>+E81+F81+G81+H81</f>
        <v>2318751</v>
      </c>
      <c r="E81" s="1200">
        <f>134277+392458+352091+275745</f>
        <v>1154571</v>
      </c>
      <c r="F81" s="1200">
        <v>114180</v>
      </c>
      <c r="G81" s="1200">
        <v>500000</v>
      </c>
      <c r="H81" s="2055">
        <f>500000+50000</f>
        <v>550000</v>
      </c>
      <c r="I81" s="2122">
        <f t="shared" si="52"/>
        <v>1418751</v>
      </c>
      <c r="J81" s="2123">
        <f t="shared" si="53"/>
        <v>61.186000566684399</v>
      </c>
      <c r="K81" s="1200">
        <v>150000</v>
      </c>
      <c r="L81" s="2124">
        <f t="shared" si="54"/>
        <v>30</v>
      </c>
      <c r="M81" s="1201">
        <f t="shared" si="55"/>
        <v>-100000</v>
      </c>
      <c r="N81" s="3403"/>
      <c r="O81" s="1843"/>
    </row>
    <row r="82" spans="1:15" s="1844" customFormat="1" ht="33.75" customHeight="1" x14ac:dyDescent="0.2">
      <c r="A82" s="3491" t="s">
        <v>43</v>
      </c>
      <c r="B82" s="2026" t="s">
        <v>330</v>
      </c>
      <c r="C82" s="2027" t="s">
        <v>171</v>
      </c>
      <c r="D82" s="2028"/>
      <c r="E82" s="2029"/>
      <c r="F82" s="2029"/>
      <c r="G82" s="2029"/>
      <c r="H82" s="2030"/>
      <c r="I82" s="2028"/>
      <c r="J82" s="2080"/>
      <c r="K82" s="2029"/>
      <c r="L82" s="2093"/>
      <c r="M82" s="2029"/>
      <c r="N82" s="3532" t="s">
        <v>280</v>
      </c>
      <c r="O82" s="1843"/>
    </row>
    <row r="83" spans="1:15" s="1844" customFormat="1" ht="12.75" customHeight="1" thickBot="1" x14ac:dyDescent="0.25">
      <c r="A83" s="3485"/>
      <c r="B83" s="220" t="s">
        <v>2</v>
      </c>
      <c r="C83" s="2032"/>
      <c r="D83" s="2018">
        <f>D84+D86</f>
        <v>2115283</v>
      </c>
      <c r="E83" s="2020">
        <f>+E86+E84</f>
        <v>1529604</v>
      </c>
      <c r="F83" s="2020">
        <f>+F86+F84</f>
        <v>315679</v>
      </c>
      <c r="G83" s="2020">
        <f>+G86+G84</f>
        <v>270000</v>
      </c>
      <c r="H83" s="2125">
        <f>+H86+H84</f>
        <v>0</v>
      </c>
      <c r="I83" s="2018">
        <f>+K83+E83+F83-4932+52504</f>
        <v>1948482</v>
      </c>
      <c r="J83" s="2084">
        <f t="shared" ref="J83:J92" si="57">I83/D83*100</f>
        <v>92.114483026621016</v>
      </c>
      <c r="K83" s="2020">
        <f>+K86+K84</f>
        <v>55627</v>
      </c>
      <c r="L83" s="2022">
        <f t="shared" ref="L83:L92" si="58">K83/G83*100</f>
        <v>20.602592592592593</v>
      </c>
      <c r="M83" s="2020">
        <f t="shared" ref="M83:M92" si="59">+K83-G83</f>
        <v>-214373</v>
      </c>
      <c r="N83" s="3533"/>
      <c r="O83" s="1843"/>
    </row>
    <row r="84" spans="1:15" s="1844" customFormat="1" ht="12.75" customHeight="1" x14ac:dyDescent="0.2">
      <c r="A84" s="3486"/>
      <c r="B84" s="351" t="s">
        <v>17</v>
      </c>
      <c r="C84" s="3188" t="s">
        <v>135</v>
      </c>
      <c r="D84" s="2126">
        <f>D85</f>
        <v>317293</v>
      </c>
      <c r="E84" s="2127">
        <f>+E85</f>
        <v>229441</v>
      </c>
      <c r="F84" s="2127">
        <f>+F85</f>
        <v>47352</v>
      </c>
      <c r="G84" s="2127">
        <f>+G85</f>
        <v>40500</v>
      </c>
      <c r="H84" s="2128">
        <f>+H85</f>
        <v>0</v>
      </c>
      <c r="I84" s="2126">
        <f>+K84+E84+F84-4932</f>
        <v>280212</v>
      </c>
      <c r="J84" s="2129">
        <f t="shared" si="57"/>
        <v>88.313325538224916</v>
      </c>
      <c r="K84" s="2127">
        <f>+K85</f>
        <v>8351</v>
      </c>
      <c r="L84" s="2130">
        <f t="shared" si="58"/>
        <v>20.619753086419752</v>
      </c>
      <c r="M84" s="2127">
        <f t="shared" si="59"/>
        <v>-32149</v>
      </c>
      <c r="N84" s="3534"/>
      <c r="O84" s="1843"/>
    </row>
    <row r="85" spans="1:15" s="1844" customFormat="1" ht="12.75" customHeight="1" x14ac:dyDescent="0.2">
      <c r="A85" s="3484"/>
      <c r="B85" s="290" t="s">
        <v>7</v>
      </c>
      <c r="C85" s="3188"/>
      <c r="D85" s="1636">
        <f>+E85+F85+G85+H85</f>
        <v>317293</v>
      </c>
      <c r="E85" s="1045">
        <f>66154+54716+56252+52319</f>
        <v>229441</v>
      </c>
      <c r="F85" s="1045">
        <v>47352</v>
      </c>
      <c r="G85" s="1045">
        <v>40500</v>
      </c>
      <c r="H85" s="1184">
        <v>0</v>
      </c>
      <c r="I85" s="1182">
        <f>+K85+E85+F85-4932</f>
        <v>280212</v>
      </c>
      <c r="J85" s="2049">
        <f t="shared" si="57"/>
        <v>88.313325538224916</v>
      </c>
      <c r="K85" s="1045">
        <v>8351</v>
      </c>
      <c r="L85" s="2131">
        <f t="shared" si="58"/>
        <v>20.619753086419752</v>
      </c>
      <c r="M85" s="1045">
        <f t="shared" si="59"/>
        <v>-32149</v>
      </c>
      <c r="N85" s="3535"/>
      <c r="O85" s="1843"/>
    </row>
    <row r="86" spans="1:15" s="1844" customFormat="1" ht="12.75" customHeight="1" x14ac:dyDescent="0.2">
      <c r="A86" s="3484"/>
      <c r="B86" s="1837" t="s">
        <v>12</v>
      </c>
      <c r="C86" s="3188"/>
      <c r="D86" s="2050">
        <f t="shared" ref="D86:H86" si="60">+D87</f>
        <v>1797990</v>
      </c>
      <c r="E86" s="2052">
        <f t="shared" si="60"/>
        <v>1300163</v>
      </c>
      <c r="F86" s="2052">
        <f t="shared" si="60"/>
        <v>268327</v>
      </c>
      <c r="G86" s="2052">
        <f t="shared" si="60"/>
        <v>229500</v>
      </c>
      <c r="H86" s="2132">
        <f t="shared" si="60"/>
        <v>0</v>
      </c>
      <c r="I86" s="2050">
        <f>+K86+E86+F86+52504</f>
        <v>1668270</v>
      </c>
      <c r="J86" s="2051">
        <f t="shared" si="57"/>
        <v>92.785276892529993</v>
      </c>
      <c r="K86" s="2052">
        <f>+K87</f>
        <v>47276</v>
      </c>
      <c r="L86" s="2133">
        <f t="shared" si="58"/>
        <v>20.599564270152506</v>
      </c>
      <c r="M86" s="2052">
        <f t="shared" si="59"/>
        <v>-182224</v>
      </c>
      <c r="N86" s="3535"/>
      <c r="O86" s="1843"/>
    </row>
    <row r="87" spans="1:15" s="1844" customFormat="1" ht="12.75" customHeight="1" x14ac:dyDescent="0.2">
      <c r="A87" s="3484"/>
      <c r="B87" s="1550" t="s">
        <v>14</v>
      </c>
      <c r="C87" s="3188"/>
      <c r="D87" s="1636">
        <f>+E87+F87+G87+H87</f>
        <v>1797990</v>
      </c>
      <c r="E87" s="1637">
        <f>374874+310055+318761+296473</f>
        <v>1300163</v>
      </c>
      <c r="F87" s="1637">
        <v>268327</v>
      </c>
      <c r="G87" s="1637">
        <v>229500</v>
      </c>
      <c r="H87" s="2134">
        <v>0</v>
      </c>
      <c r="I87" s="1636">
        <f>+K87+E87+F87+52504</f>
        <v>1668270</v>
      </c>
      <c r="J87" s="2089">
        <f t="shared" si="57"/>
        <v>92.785276892529993</v>
      </c>
      <c r="K87" s="1637">
        <v>47276</v>
      </c>
      <c r="L87" s="2135">
        <f t="shared" si="58"/>
        <v>20.599564270152506</v>
      </c>
      <c r="M87" s="1637">
        <f t="shared" si="59"/>
        <v>-182224</v>
      </c>
      <c r="N87" s="3535"/>
      <c r="O87" s="1843"/>
    </row>
    <row r="88" spans="1:15" s="1844" customFormat="1" ht="12.75" customHeight="1" x14ac:dyDescent="0.2">
      <c r="A88" s="3132"/>
      <c r="B88" s="220" t="s">
        <v>16</v>
      </c>
      <c r="C88" s="1860"/>
      <c r="D88" s="2018">
        <f>D89+D91</f>
        <v>2115283</v>
      </c>
      <c r="E88" s="2020">
        <f>+E91+E89</f>
        <v>1325311</v>
      </c>
      <c r="F88" s="2020">
        <f>+F91+F89</f>
        <v>315679</v>
      </c>
      <c r="G88" s="2020">
        <f>+G91+G89</f>
        <v>339293</v>
      </c>
      <c r="H88" s="2136">
        <f>+H91+H89</f>
        <v>135000</v>
      </c>
      <c r="I88" s="2018">
        <f>+K88+E88+F88-3023-23239</f>
        <v>1696835</v>
      </c>
      <c r="J88" s="2084">
        <f t="shared" si="57"/>
        <v>80.21787155666641</v>
      </c>
      <c r="K88" s="2020">
        <f>+K91+K89</f>
        <v>82107</v>
      </c>
      <c r="L88" s="2022">
        <f t="shared" si="58"/>
        <v>24.199438243641929</v>
      </c>
      <c r="M88" s="2020">
        <f t="shared" si="59"/>
        <v>-257186</v>
      </c>
      <c r="N88" s="3535"/>
      <c r="O88" s="1843"/>
    </row>
    <row r="89" spans="1:15" s="1844" customFormat="1" ht="12.75" customHeight="1" x14ac:dyDescent="0.2">
      <c r="A89" s="3132"/>
      <c r="B89" s="351" t="s">
        <v>17</v>
      </c>
      <c r="C89" s="3188" t="s">
        <v>135</v>
      </c>
      <c r="D89" s="2126">
        <f>D90</f>
        <v>317293</v>
      </c>
      <c r="E89" s="2127">
        <f>+E90</f>
        <v>202182</v>
      </c>
      <c r="F89" s="2127">
        <f>+F90</f>
        <v>47352</v>
      </c>
      <c r="G89" s="2127">
        <f>+G90</f>
        <v>47509</v>
      </c>
      <c r="H89" s="2137">
        <f>+H90</f>
        <v>20250</v>
      </c>
      <c r="I89" s="2126">
        <f>+K89+E89+F89-3023</f>
        <v>246511</v>
      </c>
      <c r="J89" s="2129">
        <f t="shared" si="57"/>
        <v>77.691912522494974</v>
      </c>
      <c r="K89" s="2127">
        <f>+K90</f>
        <v>0</v>
      </c>
      <c r="L89" s="2130">
        <f t="shared" si="58"/>
        <v>0</v>
      </c>
      <c r="M89" s="2127">
        <f t="shared" si="59"/>
        <v>-47509</v>
      </c>
      <c r="N89" s="3535"/>
      <c r="O89" s="1843"/>
    </row>
    <row r="90" spans="1:15" s="1844" customFormat="1" ht="12.75" customHeight="1" x14ac:dyDescent="0.2">
      <c r="A90" s="3132"/>
      <c r="B90" s="290" t="s">
        <v>7</v>
      </c>
      <c r="C90" s="3188"/>
      <c r="D90" s="1636">
        <f>+E90+F90+G90+H90</f>
        <v>317293</v>
      </c>
      <c r="E90" s="1045">
        <f>3874+72234+73370+52704</f>
        <v>202182</v>
      </c>
      <c r="F90" s="1045">
        <v>47352</v>
      </c>
      <c r="G90" s="1045">
        <v>47509</v>
      </c>
      <c r="H90" s="1184">
        <v>20250</v>
      </c>
      <c r="I90" s="1182">
        <f>+K90+E90+F90-3023</f>
        <v>246511</v>
      </c>
      <c r="J90" s="2049">
        <f t="shared" si="57"/>
        <v>77.691912522494974</v>
      </c>
      <c r="K90" s="1045">
        <v>0</v>
      </c>
      <c r="L90" s="2131">
        <f t="shared" si="58"/>
        <v>0</v>
      </c>
      <c r="M90" s="1045">
        <f t="shared" si="59"/>
        <v>-47509</v>
      </c>
      <c r="N90" s="3535"/>
      <c r="O90" s="1843"/>
    </row>
    <row r="91" spans="1:15" s="1844" customFormat="1" ht="12.75" customHeight="1" x14ac:dyDescent="0.2">
      <c r="A91" s="3132"/>
      <c r="B91" s="1837" t="s">
        <v>12</v>
      </c>
      <c r="C91" s="3188"/>
      <c r="D91" s="2050">
        <f t="shared" ref="D91:H91" si="61">+D92</f>
        <v>1797990</v>
      </c>
      <c r="E91" s="2052">
        <f t="shared" si="61"/>
        <v>1123129</v>
      </c>
      <c r="F91" s="2052">
        <f t="shared" si="61"/>
        <v>268327</v>
      </c>
      <c r="G91" s="2052">
        <f t="shared" si="61"/>
        <v>291784</v>
      </c>
      <c r="H91" s="2138">
        <f t="shared" si="61"/>
        <v>114750</v>
      </c>
      <c r="I91" s="2050">
        <f>+K91+E91+F91-23239</f>
        <v>1450324</v>
      </c>
      <c r="J91" s="2051">
        <f t="shared" si="57"/>
        <v>80.663629942324491</v>
      </c>
      <c r="K91" s="2052">
        <f>+K92</f>
        <v>82107</v>
      </c>
      <c r="L91" s="2133">
        <f t="shared" si="58"/>
        <v>28.139651248869026</v>
      </c>
      <c r="M91" s="2052">
        <f t="shared" si="59"/>
        <v>-209677</v>
      </c>
      <c r="N91" s="3535"/>
      <c r="O91" s="1843"/>
    </row>
    <row r="92" spans="1:15" s="1844" customFormat="1" ht="12.75" customHeight="1" thickBot="1" x14ac:dyDescent="0.25">
      <c r="A92" s="3133"/>
      <c r="B92" s="828" t="s">
        <v>14</v>
      </c>
      <c r="C92" s="3189"/>
      <c r="D92" s="2077">
        <f>+E92+F92+G92+H92</f>
        <v>1797990</v>
      </c>
      <c r="E92" s="2139">
        <f>408227+423389+291513</f>
        <v>1123129</v>
      </c>
      <c r="F92" s="2139">
        <v>268327</v>
      </c>
      <c r="G92" s="2139">
        <v>291784</v>
      </c>
      <c r="H92" s="2140">
        <v>114750</v>
      </c>
      <c r="I92" s="2077">
        <f>+K92+E92+F92-23239</f>
        <v>1450324</v>
      </c>
      <c r="J92" s="2091">
        <f t="shared" si="57"/>
        <v>80.663629942324491</v>
      </c>
      <c r="K92" s="2139">
        <v>82107</v>
      </c>
      <c r="L92" s="2141">
        <f t="shared" si="58"/>
        <v>28.139651248869026</v>
      </c>
      <c r="M92" s="2139">
        <f t="shared" si="59"/>
        <v>-209677</v>
      </c>
      <c r="N92" s="3533"/>
      <c r="O92" s="1843"/>
    </row>
    <row r="93" spans="1:15" s="1844" customFormat="1" ht="50.25" customHeight="1" thickBot="1" x14ac:dyDescent="0.25">
      <c r="A93" s="3520" t="s">
        <v>44</v>
      </c>
      <c r="B93" s="2026" t="s">
        <v>141</v>
      </c>
      <c r="C93" s="2027" t="s">
        <v>166</v>
      </c>
      <c r="D93" s="2028"/>
      <c r="E93" s="2029"/>
      <c r="F93" s="2029"/>
      <c r="G93" s="2029"/>
      <c r="H93" s="2030"/>
      <c r="I93" s="2028"/>
      <c r="J93" s="2080"/>
      <c r="K93" s="2029"/>
      <c r="L93" s="2109"/>
      <c r="M93" s="2029"/>
      <c r="N93" s="3381" t="s">
        <v>142</v>
      </c>
      <c r="O93" s="1843"/>
    </row>
    <row r="94" spans="1:15" s="1844" customFormat="1" ht="12.75" customHeight="1" thickBot="1" x14ac:dyDescent="0.25">
      <c r="A94" s="3521"/>
      <c r="B94" s="220" t="s">
        <v>2</v>
      </c>
      <c r="C94" s="2032"/>
      <c r="D94" s="2034">
        <f t="shared" ref="D94:H94" si="62">+D95+D97</f>
        <v>23000000</v>
      </c>
      <c r="E94" s="2033">
        <f t="shared" si="62"/>
        <v>5476883</v>
      </c>
      <c r="F94" s="2033">
        <f t="shared" si="62"/>
        <v>7300000</v>
      </c>
      <c r="G94" s="2033">
        <f t="shared" si="62"/>
        <v>301300</v>
      </c>
      <c r="H94" s="2045">
        <f t="shared" si="62"/>
        <v>9921817</v>
      </c>
      <c r="I94" s="2018">
        <f>+I95+I97</f>
        <v>12497701</v>
      </c>
      <c r="J94" s="2084">
        <f t="shared" ref="J94:J101" si="63">I94/D94*100</f>
        <v>54.33783043478261</v>
      </c>
      <c r="K94" s="2033">
        <f>+K95+K97</f>
        <v>19677</v>
      </c>
      <c r="L94" s="2112">
        <f t="shared" ref="L94:L101" si="64">K94/G94*100</f>
        <v>6.5307002987056091</v>
      </c>
      <c r="M94" s="2020">
        <f t="shared" si="55"/>
        <v>-130973</v>
      </c>
      <c r="N94" s="3159"/>
      <c r="O94" s="1843"/>
    </row>
    <row r="95" spans="1:15" s="1844" customFormat="1" ht="12.75" customHeight="1" x14ac:dyDescent="0.2">
      <c r="A95" s="3486"/>
      <c r="B95" s="351" t="s">
        <v>17</v>
      </c>
      <c r="C95" s="3490" t="s">
        <v>143</v>
      </c>
      <c r="D95" s="1684">
        <f t="shared" ref="D95:G95" si="65">+D96</f>
        <v>5750000</v>
      </c>
      <c r="E95" s="1682">
        <f t="shared" si="65"/>
        <v>1352845</v>
      </c>
      <c r="F95" s="1682">
        <f t="shared" si="65"/>
        <v>1825000</v>
      </c>
      <c r="G95" s="1682">
        <f t="shared" si="65"/>
        <v>75325</v>
      </c>
      <c r="H95" s="2036">
        <f>+H96</f>
        <v>2496830</v>
      </c>
      <c r="I95" s="2046">
        <f>+I96</f>
        <v>3108050</v>
      </c>
      <c r="J95" s="2047">
        <f t="shared" si="63"/>
        <v>54.053043478260868</v>
      </c>
      <c r="K95" s="1682">
        <f>+K96</f>
        <v>4919</v>
      </c>
      <c r="L95" s="2142">
        <f t="shared" si="64"/>
        <v>6.5303684035844674</v>
      </c>
      <c r="M95" s="2048">
        <f t="shared" si="55"/>
        <v>-32743.5</v>
      </c>
      <c r="N95" s="3317"/>
      <c r="O95" s="1843"/>
    </row>
    <row r="96" spans="1:15" s="1844" customFormat="1" ht="12.75" customHeight="1" x14ac:dyDescent="0.2">
      <c r="A96" s="3484"/>
      <c r="B96" s="2038" t="s">
        <v>4</v>
      </c>
      <c r="C96" s="3188"/>
      <c r="D96" s="2039">
        <f>+E96+F96+G96+H96</f>
        <v>5750000</v>
      </c>
      <c r="E96" s="2040">
        <f>9225+1343620</f>
        <v>1352845</v>
      </c>
      <c r="F96" s="2040">
        <v>1825000</v>
      </c>
      <c r="G96" s="2041">
        <v>75325</v>
      </c>
      <c r="H96" s="2041">
        <v>2496830</v>
      </c>
      <c r="I96" s="1182">
        <f>+K96+E96+F96-74714</f>
        <v>3108050</v>
      </c>
      <c r="J96" s="2089">
        <f t="shared" si="63"/>
        <v>54.053043478260868</v>
      </c>
      <c r="K96" s="2040">
        <v>4919</v>
      </c>
      <c r="L96" s="2143">
        <f t="shared" si="64"/>
        <v>6.5303684035844674</v>
      </c>
      <c r="M96" s="1637">
        <f t="shared" si="55"/>
        <v>-32743.5</v>
      </c>
      <c r="N96" s="3188"/>
      <c r="O96" s="1843"/>
    </row>
    <row r="97" spans="1:66" s="1844" customFormat="1" ht="12.75" customHeight="1" x14ac:dyDescent="0.2">
      <c r="A97" s="3484"/>
      <c r="B97" s="1837" t="s">
        <v>12</v>
      </c>
      <c r="C97" s="3188"/>
      <c r="D97" s="1928">
        <f t="shared" ref="D97:H97" si="66">+D98</f>
        <v>17250000</v>
      </c>
      <c r="E97" s="1929">
        <f t="shared" si="66"/>
        <v>4124038</v>
      </c>
      <c r="F97" s="1929">
        <f t="shared" si="66"/>
        <v>5475000</v>
      </c>
      <c r="G97" s="1929">
        <f t="shared" si="66"/>
        <v>225975</v>
      </c>
      <c r="H97" s="1932">
        <f t="shared" si="66"/>
        <v>7424987</v>
      </c>
      <c r="I97" s="2050">
        <f>+I98</f>
        <v>9389651</v>
      </c>
      <c r="J97" s="2051">
        <f t="shared" si="63"/>
        <v>54.432759420289855</v>
      </c>
      <c r="K97" s="1929">
        <f>+K98</f>
        <v>14758</v>
      </c>
      <c r="L97" s="2144">
        <f t="shared" si="64"/>
        <v>6.530810930412656</v>
      </c>
      <c r="M97" s="2052">
        <f t="shared" si="55"/>
        <v>-98229.5</v>
      </c>
      <c r="N97" s="3188"/>
      <c r="O97" s="1843"/>
    </row>
    <row r="98" spans="1:66" s="1844" customFormat="1" ht="12.75" customHeight="1" x14ac:dyDescent="0.2">
      <c r="A98" s="3484"/>
      <c r="B98" s="2044" t="s">
        <v>14</v>
      </c>
      <c r="C98" s="3188"/>
      <c r="D98" s="2039">
        <f>+E98+F98+G98+H98</f>
        <v>17250000</v>
      </c>
      <c r="E98" s="1046">
        <f>27675+4096363</f>
        <v>4124038</v>
      </c>
      <c r="F98" s="1046">
        <v>5475000</v>
      </c>
      <c r="G98" s="417">
        <v>225975</v>
      </c>
      <c r="H98" s="417">
        <v>7424987</v>
      </c>
      <c r="I98" s="1182">
        <f>+K98+E98+F98-224145</f>
        <v>9389651</v>
      </c>
      <c r="J98" s="2049">
        <f t="shared" si="63"/>
        <v>54.432759420289855</v>
      </c>
      <c r="K98" s="1046">
        <v>14758</v>
      </c>
      <c r="L98" s="2118">
        <f t="shared" si="64"/>
        <v>6.530810930412656</v>
      </c>
      <c r="M98" s="1045">
        <f t="shared" si="55"/>
        <v>-98229.5</v>
      </c>
      <c r="N98" s="3188"/>
      <c r="O98" s="1843"/>
    </row>
    <row r="99" spans="1:66" s="1844" customFormat="1" ht="12.75" customHeight="1" x14ac:dyDescent="0.2">
      <c r="A99" s="3132"/>
      <c r="B99" s="220" t="s">
        <v>16</v>
      </c>
      <c r="C99" s="1860"/>
      <c r="D99" s="2145">
        <f t="shared" ref="D99:H99" si="67">+D100</f>
        <v>17250000</v>
      </c>
      <c r="E99" s="2045">
        <f t="shared" si="67"/>
        <v>4114813</v>
      </c>
      <c r="F99" s="2045">
        <f t="shared" si="67"/>
        <v>5539550</v>
      </c>
      <c r="G99" s="2045">
        <f t="shared" si="67"/>
        <v>169763</v>
      </c>
      <c r="H99" s="2045">
        <f t="shared" si="67"/>
        <v>7425874</v>
      </c>
      <c r="I99" s="2018">
        <f>+I100</f>
        <v>9470022</v>
      </c>
      <c r="J99" s="2022">
        <f t="shared" si="63"/>
        <v>54.898678260869559</v>
      </c>
      <c r="K99" s="2020">
        <f>+K100</f>
        <v>57398</v>
      </c>
      <c r="L99" s="2112">
        <f t="shared" si="64"/>
        <v>33.810665457137304</v>
      </c>
      <c r="M99" s="2020">
        <f t="shared" si="55"/>
        <v>-27483.5</v>
      </c>
      <c r="N99" s="3188"/>
      <c r="O99" s="1843"/>
    </row>
    <row r="100" spans="1:66" s="1844" customFormat="1" ht="12.75" customHeight="1" x14ac:dyDescent="0.2">
      <c r="A100" s="3132"/>
      <c r="B100" s="1837" t="s">
        <v>12</v>
      </c>
      <c r="C100" s="3188"/>
      <c r="D100" s="1928">
        <f>+D101</f>
        <v>17250000</v>
      </c>
      <c r="E100" s="1929">
        <f>+E101</f>
        <v>4114813</v>
      </c>
      <c r="F100" s="1929">
        <f>+F101</f>
        <v>5539550</v>
      </c>
      <c r="G100" s="1932">
        <f>G101</f>
        <v>169763</v>
      </c>
      <c r="H100" s="1932">
        <f>H101</f>
        <v>7425874</v>
      </c>
      <c r="I100" s="2050">
        <f>+I101</f>
        <v>9470022</v>
      </c>
      <c r="J100" s="2051">
        <f t="shared" si="63"/>
        <v>54.898678260869559</v>
      </c>
      <c r="K100" s="2052">
        <f>+K101</f>
        <v>57398</v>
      </c>
      <c r="L100" s="2144">
        <f t="shared" si="64"/>
        <v>33.810665457137304</v>
      </c>
      <c r="M100" s="2052">
        <f t="shared" si="55"/>
        <v>-27483.5</v>
      </c>
      <c r="N100" s="3188"/>
      <c r="O100" s="1843"/>
    </row>
    <row r="101" spans="1:66" s="1844" customFormat="1" ht="12.75" customHeight="1" thickBot="1" x14ac:dyDescent="0.25">
      <c r="A101" s="3133"/>
      <c r="B101" s="2053" t="s">
        <v>14</v>
      </c>
      <c r="C101" s="3189"/>
      <c r="D101" s="2054">
        <f>+E101+F101+G101+H101</f>
        <v>17250000</v>
      </c>
      <c r="E101" s="1200">
        <v>4114813</v>
      </c>
      <c r="F101" s="1200">
        <v>5539550</v>
      </c>
      <c r="G101" s="2055">
        <v>169763</v>
      </c>
      <c r="H101" s="2055">
        <v>7425874</v>
      </c>
      <c r="I101" s="2056">
        <f>+K101+E101+F101-241739</f>
        <v>9470022</v>
      </c>
      <c r="J101" s="2057">
        <f t="shared" si="63"/>
        <v>54.898678260869559</v>
      </c>
      <c r="K101" s="1201">
        <v>57398</v>
      </c>
      <c r="L101" s="2124">
        <f t="shared" si="64"/>
        <v>33.810665457137304</v>
      </c>
      <c r="M101" s="1201">
        <f t="shared" si="55"/>
        <v>-27483.5</v>
      </c>
      <c r="N101" s="3189"/>
      <c r="O101" s="1843"/>
    </row>
    <row r="102" spans="1:66" s="1844" customFormat="1" ht="12.75" customHeight="1" x14ac:dyDescent="0.2">
      <c r="A102" s="3523"/>
      <c r="B102" s="3524"/>
      <c r="C102" s="3524"/>
      <c r="D102" s="3524"/>
      <c r="E102" s="3524"/>
      <c r="F102" s="3524"/>
      <c r="G102" s="3524"/>
      <c r="H102" s="3524"/>
      <c r="I102" s="3524"/>
      <c r="J102" s="3524"/>
      <c r="K102" s="3524"/>
      <c r="L102" s="3524"/>
      <c r="M102" s="3524"/>
      <c r="N102" s="3525"/>
      <c r="O102" s="1843"/>
    </row>
    <row r="103" spans="1:66" s="1844" customFormat="1" ht="12.75" hidden="1" customHeight="1" x14ac:dyDescent="0.2">
      <c r="A103" s="3526"/>
      <c r="B103" s="3527"/>
      <c r="C103" s="3527"/>
      <c r="D103" s="3527"/>
      <c r="E103" s="3527"/>
      <c r="F103" s="3527"/>
      <c r="G103" s="3527"/>
      <c r="H103" s="3527"/>
      <c r="I103" s="3527"/>
      <c r="J103" s="3527"/>
      <c r="K103" s="3527"/>
      <c r="L103" s="3527"/>
      <c r="M103" s="3527"/>
      <c r="N103" s="3528"/>
      <c r="O103" s="1843"/>
    </row>
    <row r="104" spans="1:66" s="1844" customFormat="1" ht="12.75" hidden="1" customHeight="1" x14ac:dyDescent="0.2">
      <c r="A104" s="3526"/>
      <c r="B104" s="3527"/>
      <c r="C104" s="3527"/>
      <c r="D104" s="3527"/>
      <c r="E104" s="3527"/>
      <c r="F104" s="3527"/>
      <c r="G104" s="3527"/>
      <c r="H104" s="3527"/>
      <c r="I104" s="3527"/>
      <c r="J104" s="3527"/>
      <c r="K104" s="3527"/>
      <c r="L104" s="3527"/>
      <c r="M104" s="3527"/>
      <c r="N104" s="3528"/>
      <c r="O104" s="1843"/>
    </row>
    <row r="105" spans="1:66" s="1844" customFormat="1" ht="12.75" customHeight="1" thickBot="1" x14ac:dyDescent="0.25">
      <c r="A105" s="3529"/>
      <c r="B105" s="3530"/>
      <c r="C105" s="3530"/>
      <c r="D105" s="3530"/>
      <c r="E105" s="3530"/>
      <c r="F105" s="3530"/>
      <c r="G105" s="3530"/>
      <c r="H105" s="3530"/>
      <c r="I105" s="3530"/>
      <c r="J105" s="3530"/>
      <c r="K105" s="3530"/>
      <c r="L105" s="3530"/>
      <c r="M105" s="3530"/>
      <c r="N105" s="3531"/>
      <c r="O105" s="1843"/>
    </row>
    <row r="106" spans="1:66" s="2155" customFormat="1" ht="31.5" customHeight="1" thickBot="1" x14ac:dyDescent="0.25">
      <c r="A106" s="2146" t="s">
        <v>262</v>
      </c>
      <c r="B106" s="2147"/>
      <c r="C106" s="2148"/>
      <c r="D106" s="2147"/>
      <c r="E106" s="2149"/>
      <c r="F106" s="2147"/>
      <c r="G106" s="2147"/>
      <c r="H106" s="2150"/>
      <c r="I106" s="2151"/>
      <c r="J106" s="2152"/>
      <c r="K106" s="2147"/>
      <c r="L106" s="2153"/>
      <c r="M106" s="2150"/>
      <c r="N106" s="2154"/>
      <c r="O106" s="1843"/>
    </row>
    <row r="107" spans="1:66" s="621" customFormat="1" ht="18" customHeight="1" thickBot="1" x14ac:dyDescent="0.25">
      <c r="A107" s="1991"/>
      <c r="B107" s="600" t="s">
        <v>162</v>
      </c>
      <c r="C107" s="601"/>
      <c r="D107" s="602">
        <f>D108+D109</f>
        <v>24020323</v>
      </c>
      <c r="E107" s="605">
        <f t="shared" ref="E107:H107" si="68">E108+E109</f>
        <v>7074276</v>
      </c>
      <c r="F107" s="605">
        <f t="shared" si="68"/>
        <v>5411144</v>
      </c>
      <c r="G107" s="605">
        <f t="shared" si="68"/>
        <v>6428253</v>
      </c>
      <c r="H107" s="605">
        <f t="shared" si="68"/>
        <v>5106650</v>
      </c>
      <c r="I107" s="602">
        <f t="shared" ref="I107:I112" si="69">+K107+E107+F107</f>
        <v>13636581</v>
      </c>
      <c r="J107" s="608">
        <f t="shared" ref="J107:J112" si="70">I107/D107*100</f>
        <v>56.771014278201001</v>
      </c>
      <c r="K107" s="605">
        <f>K108+K109</f>
        <v>1151161</v>
      </c>
      <c r="L107" s="608">
        <f t="shared" ref="L107:L112" si="71">K107/G107*100</f>
        <v>17.907835923694975</v>
      </c>
      <c r="M107" s="605">
        <f t="shared" ref="M107:M112" si="72">+K107-G107</f>
        <v>-5277092</v>
      </c>
      <c r="N107" s="1234"/>
      <c r="O107" s="1843"/>
      <c r="P107" s="620"/>
      <c r="Q107" s="620"/>
      <c r="R107" s="620"/>
      <c r="S107" s="620"/>
      <c r="T107" s="620"/>
      <c r="U107" s="620"/>
      <c r="V107" s="620"/>
      <c r="W107" s="620"/>
      <c r="X107" s="620"/>
      <c r="Y107" s="620"/>
      <c r="Z107" s="620"/>
      <c r="AA107" s="620"/>
      <c r="AB107" s="620"/>
      <c r="AC107" s="620"/>
      <c r="AD107" s="620"/>
      <c r="AE107" s="620"/>
      <c r="AF107" s="620"/>
      <c r="AG107" s="620"/>
      <c r="AH107" s="620"/>
      <c r="AI107" s="620"/>
      <c r="AJ107" s="620"/>
      <c r="AK107" s="620"/>
      <c r="AL107" s="620"/>
      <c r="AM107" s="620"/>
      <c r="AN107" s="620"/>
      <c r="AO107" s="620"/>
      <c r="AP107" s="620"/>
      <c r="AQ107" s="620"/>
      <c r="AR107" s="620"/>
      <c r="AS107" s="620"/>
      <c r="AT107" s="620"/>
      <c r="AU107" s="620"/>
      <c r="AV107" s="620"/>
      <c r="AW107" s="620"/>
      <c r="AX107" s="620"/>
      <c r="AY107" s="620"/>
      <c r="AZ107" s="620"/>
      <c r="BA107" s="620"/>
      <c r="BB107" s="620"/>
      <c r="BC107" s="620"/>
      <c r="BD107" s="620"/>
      <c r="BE107" s="620"/>
      <c r="BF107" s="620"/>
      <c r="BG107" s="620"/>
      <c r="BH107" s="620"/>
      <c r="BI107" s="620"/>
      <c r="BJ107" s="620"/>
      <c r="BK107" s="620"/>
      <c r="BL107" s="620"/>
      <c r="BM107" s="620"/>
      <c r="BN107" s="620"/>
    </row>
    <row r="108" spans="1:66" s="621" customFormat="1" ht="17.25" customHeight="1" thickTop="1" x14ac:dyDescent="0.2">
      <c r="A108" s="1994"/>
      <c r="B108" s="613" t="s">
        <v>163</v>
      </c>
      <c r="C108" s="614"/>
      <c r="D108" s="39">
        <f>D134</f>
        <v>21903243</v>
      </c>
      <c r="E108" s="617">
        <f>E134</f>
        <v>4992196</v>
      </c>
      <c r="F108" s="617">
        <f>F134</f>
        <v>5411141</v>
      </c>
      <c r="G108" s="617">
        <f>G134</f>
        <v>6403906</v>
      </c>
      <c r="H108" s="617">
        <f>H134</f>
        <v>5096000</v>
      </c>
      <c r="I108" s="39">
        <f t="shared" si="69"/>
        <v>11554494</v>
      </c>
      <c r="J108" s="43">
        <f t="shared" si="70"/>
        <v>52.752434879163779</v>
      </c>
      <c r="K108" s="617">
        <f>K134</f>
        <v>1151157</v>
      </c>
      <c r="L108" s="43">
        <f t="shared" si="71"/>
        <v>17.975857234631491</v>
      </c>
      <c r="M108" s="617">
        <f t="shared" si="72"/>
        <v>-5252749</v>
      </c>
      <c r="N108" s="1234"/>
      <c r="O108" s="1843"/>
      <c r="P108" s="620"/>
      <c r="Q108" s="620"/>
      <c r="R108" s="620"/>
      <c r="S108" s="620"/>
      <c r="T108" s="620"/>
      <c r="U108" s="620"/>
      <c r="V108" s="620"/>
      <c r="W108" s="620"/>
      <c r="X108" s="620"/>
      <c r="Y108" s="620"/>
      <c r="Z108" s="620"/>
      <c r="AA108" s="620"/>
      <c r="AB108" s="620"/>
      <c r="AC108" s="620"/>
      <c r="AD108" s="620"/>
      <c r="AE108" s="620"/>
      <c r="AF108" s="620"/>
      <c r="AG108" s="620"/>
      <c r="AH108" s="620"/>
      <c r="AI108" s="620"/>
      <c r="AJ108" s="620"/>
      <c r="AK108" s="620"/>
      <c r="AL108" s="620"/>
      <c r="AM108" s="620"/>
      <c r="AN108" s="620"/>
      <c r="AO108" s="620"/>
      <c r="AP108" s="620"/>
      <c r="AQ108" s="620"/>
      <c r="AR108" s="620"/>
      <c r="AS108" s="620"/>
      <c r="AT108" s="620"/>
      <c r="AU108" s="620"/>
      <c r="AV108" s="620"/>
      <c r="AW108" s="620"/>
      <c r="AX108" s="620"/>
      <c r="AY108" s="620"/>
      <c r="AZ108" s="620"/>
      <c r="BA108" s="620"/>
      <c r="BB108" s="620"/>
      <c r="BC108" s="620"/>
      <c r="BD108" s="620"/>
      <c r="BE108" s="620"/>
      <c r="BF108" s="620"/>
      <c r="BG108" s="620"/>
      <c r="BH108" s="620"/>
      <c r="BI108" s="620"/>
      <c r="BJ108" s="620"/>
      <c r="BK108" s="620"/>
      <c r="BL108" s="620"/>
      <c r="BM108" s="620"/>
      <c r="BN108" s="620"/>
    </row>
    <row r="109" spans="1:66" s="621" customFormat="1" ht="17.25" customHeight="1" thickBot="1" x14ac:dyDescent="0.25">
      <c r="A109" s="1994"/>
      <c r="B109" s="2156" t="s">
        <v>164</v>
      </c>
      <c r="C109" s="2157"/>
      <c r="D109" s="2158">
        <f t="shared" ref="D109:H109" si="73">D114+D118+D122+D126+D130</f>
        <v>2117080</v>
      </c>
      <c r="E109" s="2159">
        <f t="shared" si="73"/>
        <v>2082080</v>
      </c>
      <c r="F109" s="2159">
        <f t="shared" si="73"/>
        <v>3</v>
      </c>
      <c r="G109" s="2159">
        <f t="shared" si="73"/>
        <v>24347</v>
      </c>
      <c r="H109" s="2159">
        <f t="shared" si="73"/>
        <v>10650</v>
      </c>
      <c r="I109" s="2158">
        <f t="shared" si="69"/>
        <v>2082087</v>
      </c>
      <c r="J109" s="628">
        <f t="shared" si="70"/>
        <v>98.347110170612353</v>
      </c>
      <c r="K109" s="2159">
        <f>K114+K118+K122+K126+K130</f>
        <v>4</v>
      </c>
      <c r="L109" s="628">
        <f t="shared" si="71"/>
        <v>1.642912884544297E-2</v>
      </c>
      <c r="M109" s="2160">
        <f t="shared" si="72"/>
        <v>-24343</v>
      </c>
      <c r="N109" s="1234"/>
      <c r="O109" s="1843"/>
      <c r="P109" s="620"/>
      <c r="Q109" s="620"/>
      <c r="R109" s="620"/>
      <c r="S109" s="620"/>
      <c r="T109" s="620"/>
      <c r="U109" s="620"/>
      <c r="V109" s="620"/>
      <c r="W109" s="620"/>
      <c r="X109" s="620"/>
      <c r="Y109" s="620"/>
      <c r="Z109" s="620"/>
      <c r="AA109" s="620"/>
      <c r="AB109" s="620"/>
      <c r="AC109" s="620"/>
      <c r="AD109" s="620"/>
      <c r="AE109" s="620"/>
      <c r="AF109" s="620"/>
      <c r="AG109" s="620"/>
      <c r="AH109" s="620"/>
      <c r="AI109" s="620"/>
      <c r="AJ109" s="620"/>
      <c r="AK109" s="620"/>
      <c r="AL109" s="620"/>
      <c r="AM109" s="620"/>
      <c r="AN109" s="620"/>
      <c r="AO109" s="620"/>
      <c r="AP109" s="620"/>
      <c r="AQ109" s="620"/>
      <c r="AR109" s="620"/>
      <c r="AS109" s="620"/>
      <c r="AT109" s="620"/>
      <c r="AU109" s="620"/>
      <c r="AV109" s="620"/>
      <c r="AW109" s="620"/>
      <c r="AX109" s="620"/>
      <c r="AY109" s="620"/>
      <c r="AZ109" s="620"/>
      <c r="BA109" s="620"/>
      <c r="BB109" s="620"/>
      <c r="BC109" s="620"/>
      <c r="BD109" s="620"/>
      <c r="BE109" s="620"/>
      <c r="BF109" s="620"/>
      <c r="BG109" s="620"/>
      <c r="BH109" s="620"/>
      <c r="BI109" s="620"/>
      <c r="BJ109" s="620"/>
      <c r="BK109" s="620"/>
      <c r="BL109" s="620"/>
      <c r="BM109" s="620"/>
      <c r="BN109" s="620"/>
    </row>
    <row r="110" spans="1:66" s="2007" customFormat="1" ht="15" customHeight="1" thickBot="1" x14ac:dyDescent="0.25">
      <c r="A110" s="3494"/>
      <c r="B110" s="2161" t="s">
        <v>2</v>
      </c>
      <c r="C110" s="2162"/>
      <c r="D110" s="1774">
        <f>+D111</f>
        <v>24020323</v>
      </c>
      <c r="E110" s="1773">
        <f t="shared" ref="E110:H111" si="74">+E111</f>
        <v>7074276</v>
      </c>
      <c r="F110" s="1773">
        <f t="shared" si="74"/>
        <v>5411144</v>
      </c>
      <c r="G110" s="1775">
        <f t="shared" si="74"/>
        <v>6428253</v>
      </c>
      <c r="H110" s="1773">
        <f t="shared" si="74"/>
        <v>5106650</v>
      </c>
      <c r="I110" s="2002">
        <f t="shared" si="69"/>
        <v>13636581</v>
      </c>
      <c r="J110" s="2163">
        <f t="shared" si="70"/>
        <v>56.771014278201001</v>
      </c>
      <c r="K110" s="2164">
        <f t="shared" ref="K110:K111" si="75">+K111</f>
        <v>1151161</v>
      </c>
      <c r="L110" s="2165">
        <f t="shared" si="71"/>
        <v>17.907835923694975</v>
      </c>
      <c r="M110" s="1773">
        <f t="shared" si="72"/>
        <v>-5277092</v>
      </c>
      <c r="N110" s="3497"/>
      <c r="O110" s="1843"/>
    </row>
    <row r="111" spans="1:66" s="2175" customFormat="1" ht="15" customHeight="1" x14ac:dyDescent="0.2">
      <c r="A111" s="3495"/>
      <c r="B111" s="2166" t="s">
        <v>3</v>
      </c>
      <c r="C111" s="3498"/>
      <c r="D111" s="2167">
        <f>+D112</f>
        <v>24020323</v>
      </c>
      <c r="E111" s="2168">
        <f t="shared" si="74"/>
        <v>7074276</v>
      </c>
      <c r="F111" s="2168">
        <f t="shared" si="74"/>
        <v>5411144</v>
      </c>
      <c r="G111" s="2169">
        <f t="shared" si="74"/>
        <v>6428253</v>
      </c>
      <c r="H111" s="2168">
        <f t="shared" si="74"/>
        <v>5106650</v>
      </c>
      <c r="I111" s="2170">
        <f t="shared" si="69"/>
        <v>13636581</v>
      </c>
      <c r="J111" s="2171">
        <f t="shared" si="70"/>
        <v>56.771014278201001</v>
      </c>
      <c r="K111" s="2172">
        <f t="shared" si="75"/>
        <v>1151161</v>
      </c>
      <c r="L111" s="2173">
        <f t="shared" si="71"/>
        <v>17.907835923694975</v>
      </c>
      <c r="M111" s="2168">
        <f t="shared" si="72"/>
        <v>-5277092</v>
      </c>
      <c r="N111" s="3097"/>
      <c r="O111" s="1843"/>
      <c r="P111" s="2174"/>
      <c r="Q111" s="2174"/>
      <c r="R111" s="2174"/>
      <c r="S111" s="2174"/>
      <c r="T111" s="2174"/>
      <c r="U111" s="2174"/>
      <c r="V111" s="2174"/>
      <c r="W111" s="2174"/>
      <c r="X111" s="2174"/>
      <c r="Y111" s="2174"/>
      <c r="Z111" s="2174"/>
    </row>
    <row r="112" spans="1:66" s="2014" customFormat="1" ht="15" customHeight="1" x14ac:dyDescent="0.2">
      <c r="A112" s="3496"/>
      <c r="B112" s="1782" t="s">
        <v>4</v>
      </c>
      <c r="C112" s="3499"/>
      <c r="D112" s="2176">
        <f>D116+D120+D124+D128+D132+D136</f>
        <v>24020323</v>
      </c>
      <c r="E112" s="2177">
        <f>E116+E120+E124+E128+E132+E136</f>
        <v>7074276</v>
      </c>
      <c r="F112" s="2177">
        <f>F116+F120+F124+F128+F132+F136</f>
        <v>5411144</v>
      </c>
      <c r="G112" s="2178">
        <f>G116+G120+G124+G128+G132+G136</f>
        <v>6428253</v>
      </c>
      <c r="H112" s="2177">
        <f>H116+H120+H124+H128+H132+H136</f>
        <v>5106650</v>
      </c>
      <c r="I112" s="2176">
        <f t="shared" si="69"/>
        <v>13636581</v>
      </c>
      <c r="J112" s="1791">
        <f t="shared" si="70"/>
        <v>56.771014278201001</v>
      </c>
      <c r="K112" s="1786">
        <f>K116+K120+K124+K128+K132+K136</f>
        <v>1151161</v>
      </c>
      <c r="L112" s="1798">
        <f t="shared" si="71"/>
        <v>17.907835923694975</v>
      </c>
      <c r="M112" s="2177">
        <f t="shared" si="72"/>
        <v>-5277092</v>
      </c>
      <c r="N112" s="3313"/>
      <c r="O112" s="1843"/>
    </row>
    <row r="113" spans="1:15" s="2186" customFormat="1" ht="38.25" hidden="1" x14ac:dyDescent="0.2">
      <c r="A113" s="3486" t="s">
        <v>32</v>
      </c>
      <c r="B113" s="2179" t="s">
        <v>136</v>
      </c>
      <c r="C113" s="1700" t="s">
        <v>166</v>
      </c>
      <c r="D113" s="2180"/>
      <c r="E113" s="2181"/>
      <c r="F113" s="2182"/>
      <c r="G113" s="2182"/>
      <c r="H113" s="2181"/>
      <c r="I113" s="2180"/>
      <c r="J113" s="2183"/>
      <c r="K113" s="2184"/>
      <c r="L113" s="2185"/>
      <c r="M113" s="2181"/>
      <c r="N113" s="3492" t="s">
        <v>137</v>
      </c>
      <c r="O113" s="1843"/>
    </row>
    <row r="114" spans="1:15" s="2186" customFormat="1" ht="13.5" hidden="1" customHeight="1" x14ac:dyDescent="0.2">
      <c r="A114" s="3484"/>
      <c r="B114" s="220" t="s">
        <v>2</v>
      </c>
      <c r="C114" s="2032"/>
      <c r="D114" s="2034">
        <f>+D115</f>
        <v>0</v>
      </c>
      <c r="E114" s="2033">
        <v>0</v>
      </c>
      <c r="F114" s="2033">
        <f t="shared" ref="F114:H115" si="76">F115</f>
        <v>0</v>
      </c>
      <c r="G114" s="2062">
        <f t="shared" si="76"/>
        <v>0</v>
      </c>
      <c r="H114" s="2187">
        <f t="shared" si="76"/>
        <v>0</v>
      </c>
      <c r="I114" s="2034">
        <f>+K114+E114+F114</f>
        <v>0</v>
      </c>
      <c r="J114" s="2084" t="e">
        <f>I114/D114*100</f>
        <v>#DIV/0!</v>
      </c>
      <c r="K114" s="2060">
        <f>K115</f>
        <v>0</v>
      </c>
      <c r="L114" s="2083">
        <v>0</v>
      </c>
      <c r="M114" s="2188">
        <f t="shared" si="55"/>
        <v>0</v>
      </c>
      <c r="N114" s="3101"/>
      <c r="O114" s="1843"/>
    </row>
    <row r="115" spans="1:15" s="2186" customFormat="1" ht="14.25" hidden="1" customHeight="1" x14ac:dyDescent="0.2">
      <c r="A115" s="3484"/>
      <c r="B115" s="351" t="s">
        <v>17</v>
      </c>
      <c r="C115" s="3500" t="s">
        <v>135</v>
      </c>
      <c r="D115" s="1928">
        <f>+D116</f>
        <v>0</v>
      </c>
      <c r="E115" s="1929">
        <v>0</v>
      </c>
      <c r="F115" s="1929">
        <f t="shared" si="76"/>
        <v>0</v>
      </c>
      <c r="G115" s="1930">
        <f t="shared" si="76"/>
        <v>0</v>
      </c>
      <c r="H115" s="2189">
        <f t="shared" si="76"/>
        <v>0</v>
      </c>
      <c r="I115" s="1928">
        <f>+K115+E115+F115</f>
        <v>0</v>
      </c>
      <c r="J115" s="2051" t="e">
        <f>I115/D115*100</f>
        <v>#DIV/0!</v>
      </c>
      <c r="K115" s="1933">
        <f>K116</f>
        <v>0</v>
      </c>
      <c r="L115" s="2090">
        <v>0</v>
      </c>
      <c r="M115" s="2189">
        <f t="shared" si="55"/>
        <v>0</v>
      </c>
      <c r="N115" s="3101"/>
      <c r="O115" s="1843"/>
    </row>
    <row r="116" spans="1:15" s="2186" customFormat="1" ht="13.5" hidden="1" customHeight="1" thickBot="1" x14ac:dyDescent="0.25">
      <c r="A116" s="3485"/>
      <c r="B116" s="2190" t="s">
        <v>4</v>
      </c>
      <c r="C116" s="3189"/>
      <c r="D116" s="2054">
        <f>+E116+F116+G116+H116</f>
        <v>0</v>
      </c>
      <c r="E116" s="2191">
        <v>0</v>
      </c>
      <c r="F116" s="2191"/>
      <c r="G116" s="2192">
        <v>0</v>
      </c>
      <c r="H116" s="2193">
        <v>0</v>
      </c>
      <c r="I116" s="1177">
        <f>+K116+E116+F116</f>
        <v>0</v>
      </c>
      <c r="J116" s="2091" t="e">
        <f>I116/D116*100</f>
        <v>#DIV/0!</v>
      </c>
      <c r="K116" s="2194">
        <v>0</v>
      </c>
      <c r="L116" s="2092">
        <v>0</v>
      </c>
      <c r="M116" s="2193">
        <f t="shared" si="55"/>
        <v>0</v>
      </c>
      <c r="N116" s="3104"/>
      <c r="O116" s="1843"/>
    </row>
    <row r="117" spans="1:15" s="2186" customFormat="1" ht="42.75" hidden="1" customHeight="1" x14ac:dyDescent="0.2">
      <c r="A117" s="3522" t="s">
        <v>32</v>
      </c>
      <c r="B117" s="2026" t="s">
        <v>138</v>
      </c>
      <c r="C117" s="2027" t="s">
        <v>166</v>
      </c>
      <c r="D117" s="2028"/>
      <c r="E117" s="2029"/>
      <c r="F117" s="2029"/>
      <c r="G117" s="2195"/>
      <c r="H117" s="2030"/>
      <c r="I117" s="2028"/>
      <c r="J117" s="2080"/>
      <c r="K117" s="2081"/>
      <c r="L117" s="2196"/>
      <c r="M117" s="2030"/>
      <c r="N117" s="3385" t="s">
        <v>139</v>
      </c>
      <c r="O117" s="1843"/>
    </row>
    <row r="118" spans="1:15" s="2186" customFormat="1" ht="13.5" hidden="1" customHeight="1" x14ac:dyDescent="0.2">
      <c r="A118" s="3484"/>
      <c r="B118" s="220" t="s">
        <v>2</v>
      </c>
      <c r="C118" s="2032"/>
      <c r="D118" s="2018">
        <f>+D119</f>
        <v>0</v>
      </c>
      <c r="E118" s="2020">
        <f t="shared" ref="E118:H119" si="77">+E119</f>
        <v>0</v>
      </c>
      <c r="F118" s="2020">
        <f t="shared" si="77"/>
        <v>0</v>
      </c>
      <c r="G118" s="2060">
        <f t="shared" si="77"/>
        <v>0</v>
      </c>
      <c r="H118" s="2083">
        <f t="shared" si="77"/>
        <v>0</v>
      </c>
      <c r="I118" s="2018">
        <f>+K118+E118+F118</f>
        <v>0</v>
      </c>
      <c r="J118" s="2084" t="e">
        <f>I118/D118*100</f>
        <v>#DIV/0!</v>
      </c>
      <c r="K118" s="2020">
        <f>+K119</f>
        <v>0</v>
      </c>
      <c r="L118" s="2083">
        <v>0</v>
      </c>
      <c r="M118" s="2125">
        <f t="shared" si="55"/>
        <v>0</v>
      </c>
      <c r="N118" s="3098"/>
      <c r="O118" s="1843"/>
    </row>
    <row r="119" spans="1:15" s="2186" customFormat="1" ht="13.5" hidden="1" customHeight="1" x14ac:dyDescent="0.2">
      <c r="A119" s="3484"/>
      <c r="B119" s="351" t="s">
        <v>17</v>
      </c>
      <c r="C119" s="3500" t="s">
        <v>140</v>
      </c>
      <c r="D119" s="2050">
        <f>+D120</f>
        <v>0</v>
      </c>
      <c r="E119" s="2052">
        <f t="shared" si="77"/>
        <v>0</v>
      </c>
      <c r="F119" s="2052">
        <f t="shared" si="77"/>
        <v>0</v>
      </c>
      <c r="G119" s="1933">
        <f t="shared" si="77"/>
        <v>0</v>
      </c>
      <c r="H119" s="2090">
        <f t="shared" si="77"/>
        <v>0</v>
      </c>
      <c r="I119" s="2050">
        <f>+K119+E119+F119</f>
        <v>0</v>
      </c>
      <c r="J119" s="2051" t="e">
        <f>I119/D119*100</f>
        <v>#DIV/0!</v>
      </c>
      <c r="K119" s="2052">
        <f>+K120</f>
        <v>0</v>
      </c>
      <c r="L119" s="2090">
        <v>0</v>
      </c>
      <c r="M119" s="2132">
        <f t="shared" si="55"/>
        <v>0</v>
      </c>
      <c r="N119" s="3098"/>
      <c r="O119" s="1843"/>
    </row>
    <row r="120" spans="1:15" s="2186" customFormat="1" ht="13.5" hidden="1" thickBot="1" x14ac:dyDescent="0.25">
      <c r="A120" s="3485"/>
      <c r="B120" s="2190" t="s">
        <v>4</v>
      </c>
      <c r="C120" s="3189"/>
      <c r="D120" s="2077">
        <f>+E120+F120+G120+H120</f>
        <v>0</v>
      </c>
      <c r="E120" s="2139"/>
      <c r="F120" s="2139"/>
      <c r="G120" s="2194">
        <v>0</v>
      </c>
      <c r="H120" s="2193">
        <v>0</v>
      </c>
      <c r="I120" s="2077">
        <f>+K120+E120+F120</f>
        <v>0</v>
      </c>
      <c r="J120" s="2091" t="e">
        <f>I120/D120*100</f>
        <v>#DIV/0!</v>
      </c>
      <c r="K120" s="2139">
        <v>0</v>
      </c>
      <c r="L120" s="2092">
        <v>0</v>
      </c>
      <c r="M120" s="2197">
        <f t="shared" si="55"/>
        <v>0</v>
      </c>
      <c r="N120" s="3103"/>
      <c r="O120" s="1843"/>
    </row>
    <row r="121" spans="1:15" s="2186" customFormat="1" ht="37.5" hidden="1" customHeight="1" x14ac:dyDescent="0.2">
      <c r="A121" s="3486" t="s">
        <v>35</v>
      </c>
      <c r="B121" s="2026" t="s">
        <v>382</v>
      </c>
      <c r="C121" s="2027" t="s">
        <v>166</v>
      </c>
      <c r="D121" s="2028"/>
      <c r="E121" s="2029"/>
      <c r="F121" s="2029"/>
      <c r="G121" s="2029"/>
      <c r="H121" s="2198"/>
      <c r="I121" s="2028"/>
      <c r="J121" s="2080"/>
      <c r="K121" s="2081"/>
      <c r="L121" s="2196"/>
      <c r="M121" s="2030"/>
      <c r="N121" s="3385" t="s">
        <v>139</v>
      </c>
      <c r="O121" s="1843"/>
    </row>
    <row r="122" spans="1:15" s="2186" customFormat="1" ht="13.5" hidden="1" customHeight="1" thickBot="1" x14ac:dyDescent="0.25">
      <c r="A122" s="3485"/>
      <c r="B122" s="220" t="s">
        <v>2</v>
      </c>
      <c r="C122" s="2032"/>
      <c r="D122" s="2034">
        <f>+D123</f>
        <v>0</v>
      </c>
      <c r="E122" s="2033">
        <f t="shared" ref="E122:H123" si="78">+E123</f>
        <v>0</v>
      </c>
      <c r="F122" s="2033">
        <f t="shared" si="78"/>
        <v>0</v>
      </c>
      <c r="G122" s="2188">
        <f t="shared" si="78"/>
        <v>0</v>
      </c>
      <c r="H122" s="2188">
        <f t="shared" si="78"/>
        <v>0</v>
      </c>
      <c r="I122" s="2034">
        <f>+K122+E122+F122</f>
        <v>0</v>
      </c>
      <c r="J122" s="2084" t="e">
        <f>I122/D122*100</f>
        <v>#DIV/0!</v>
      </c>
      <c r="K122" s="2083">
        <f>+K123</f>
        <v>0</v>
      </c>
      <c r="L122" s="2083">
        <v>0</v>
      </c>
      <c r="M122" s="2188">
        <f t="shared" si="55"/>
        <v>0</v>
      </c>
      <c r="N122" s="3103"/>
      <c r="O122" s="1843"/>
    </row>
    <row r="123" spans="1:15" s="2186" customFormat="1" ht="14.25" hidden="1" customHeight="1" x14ac:dyDescent="0.2">
      <c r="A123" s="3486"/>
      <c r="B123" s="351" t="s">
        <v>17</v>
      </c>
      <c r="C123" s="3500" t="s">
        <v>140</v>
      </c>
      <c r="D123" s="1928">
        <f>+D124</f>
        <v>0</v>
      </c>
      <c r="E123" s="1929">
        <f t="shared" si="78"/>
        <v>0</v>
      </c>
      <c r="F123" s="1929">
        <f t="shared" si="78"/>
        <v>0</v>
      </c>
      <c r="G123" s="2189">
        <f t="shared" si="78"/>
        <v>0</v>
      </c>
      <c r="H123" s="2189">
        <f t="shared" si="78"/>
        <v>0</v>
      </c>
      <c r="I123" s="1928">
        <f>+K123+E123+F123</f>
        <v>0</v>
      </c>
      <c r="J123" s="2051" t="e">
        <f>I123/D123*100</f>
        <v>#DIV/0!</v>
      </c>
      <c r="K123" s="2090">
        <f>+K124</f>
        <v>0</v>
      </c>
      <c r="L123" s="2090">
        <v>0</v>
      </c>
      <c r="M123" s="2189">
        <f t="shared" si="55"/>
        <v>0</v>
      </c>
      <c r="N123" s="3315"/>
      <c r="O123" s="1843"/>
    </row>
    <row r="124" spans="1:15" s="2186" customFormat="1" ht="13.5" hidden="1" customHeight="1" thickBot="1" x14ac:dyDescent="0.25">
      <c r="A124" s="3484"/>
      <c r="B124" s="2190" t="s">
        <v>4</v>
      </c>
      <c r="C124" s="3189"/>
      <c r="D124" s="2054">
        <f>+E124+F124+G124+H124</f>
        <v>0</v>
      </c>
      <c r="E124" s="2191"/>
      <c r="F124" s="2199"/>
      <c r="G124" s="2193">
        <v>0</v>
      </c>
      <c r="H124" s="2193">
        <v>0</v>
      </c>
      <c r="I124" s="2054">
        <f>+K124+E124+F124</f>
        <v>0</v>
      </c>
      <c r="J124" s="2091" t="e">
        <f>I124/D124*100</f>
        <v>#DIV/0!</v>
      </c>
      <c r="K124" s="2092">
        <v>0</v>
      </c>
      <c r="L124" s="2092">
        <v>0</v>
      </c>
      <c r="M124" s="2193">
        <f t="shared" si="55"/>
        <v>0</v>
      </c>
      <c r="N124" s="3101"/>
      <c r="O124" s="1843"/>
    </row>
    <row r="125" spans="1:15" s="2186" customFormat="1" ht="42.75" customHeight="1" x14ac:dyDescent="0.2">
      <c r="A125" s="3484" t="s">
        <v>32</v>
      </c>
      <c r="B125" s="2179" t="s">
        <v>272</v>
      </c>
      <c r="C125" s="1700" t="s">
        <v>166</v>
      </c>
      <c r="D125" s="2180"/>
      <c r="E125" s="2182"/>
      <c r="F125" s="2182"/>
      <c r="G125" s="2182"/>
      <c r="H125" s="2200"/>
      <c r="I125" s="2201"/>
      <c r="J125" s="2202"/>
      <c r="K125" s="2202"/>
      <c r="L125" s="2202"/>
      <c r="M125" s="2181"/>
      <c r="N125" s="3384" t="s">
        <v>139</v>
      </c>
      <c r="O125" s="1843"/>
    </row>
    <row r="126" spans="1:15" s="2186" customFormat="1" ht="13.5" customHeight="1" x14ac:dyDescent="0.2">
      <c r="A126" s="3484"/>
      <c r="B126" s="220" t="s">
        <v>2</v>
      </c>
      <c r="C126" s="2032"/>
      <c r="D126" s="2034">
        <f>+D127</f>
        <v>2117080</v>
      </c>
      <c r="E126" s="2033">
        <f t="shared" ref="E126:H127" si="79">+E127</f>
        <v>2082080</v>
      </c>
      <c r="F126" s="2033">
        <f t="shared" si="79"/>
        <v>3</v>
      </c>
      <c r="G126" s="2033">
        <f t="shared" si="79"/>
        <v>24347</v>
      </c>
      <c r="H126" s="2045">
        <f t="shared" si="79"/>
        <v>10650</v>
      </c>
      <c r="I126" s="2034">
        <f>+K126+E126+F126</f>
        <v>2082087</v>
      </c>
      <c r="J126" s="2035">
        <f>I126/D126*100</f>
        <v>98.347110170612353</v>
      </c>
      <c r="K126" s="2045">
        <f>+K127</f>
        <v>4</v>
      </c>
      <c r="L126" s="2112">
        <f>K126/G126*100</f>
        <v>1.642912884544297E-2</v>
      </c>
      <c r="M126" s="2045">
        <f>+K126-G126</f>
        <v>-24343</v>
      </c>
      <c r="N126" s="3101"/>
      <c r="O126" s="1843"/>
    </row>
    <row r="127" spans="1:15" s="2186" customFormat="1" ht="15" customHeight="1" x14ac:dyDescent="0.2">
      <c r="A127" s="3484"/>
      <c r="B127" s="351" t="s">
        <v>17</v>
      </c>
      <c r="C127" s="3500" t="s">
        <v>140</v>
      </c>
      <c r="D127" s="1928">
        <f>+D128</f>
        <v>2117080</v>
      </c>
      <c r="E127" s="1929">
        <f t="shared" si="79"/>
        <v>2082080</v>
      </c>
      <c r="F127" s="1929">
        <f t="shared" si="79"/>
        <v>3</v>
      </c>
      <c r="G127" s="1929">
        <f t="shared" si="79"/>
        <v>24347</v>
      </c>
      <c r="H127" s="1932">
        <f t="shared" si="79"/>
        <v>10650</v>
      </c>
      <c r="I127" s="1928">
        <f>+K127+E127+F127</f>
        <v>2082087</v>
      </c>
      <c r="J127" s="2043">
        <f>I127/D127*100</f>
        <v>98.347110170612353</v>
      </c>
      <c r="K127" s="1932">
        <f>+K128</f>
        <v>4</v>
      </c>
      <c r="L127" s="2144">
        <f>K127/G127*100</f>
        <v>1.642912884544297E-2</v>
      </c>
      <c r="M127" s="1932">
        <f>+K127-G127</f>
        <v>-24343</v>
      </c>
      <c r="N127" s="3101"/>
      <c r="O127" s="1843"/>
    </row>
    <row r="128" spans="1:15" s="2186" customFormat="1" ht="13.5" customHeight="1" thickBot="1" x14ac:dyDescent="0.25">
      <c r="A128" s="3485"/>
      <c r="B128" s="2190" t="s">
        <v>4</v>
      </c>
      <c r="C128" s="3189"/>
      <c r="D128" s="2054">
        <f>+E128+F128+G128+H128</f>
        <v>2117080</v>
      </c>
      <c r="E128" s="2191">
        <f>156327+34555+1891198</f>
        <v>2082080</v>
      </c>
      <c r="F128" s="2191">
        <v>3</v>
      </c>
      <c r="G128" s="2199">
        <v>24347</v>
      </c>
      <c r="H128" s="2199">
        <f>2500+8150</f>
        <v>10650</v>
      </c>
      <c r="I128" s="2054">
        <f>+K128+E128+F128</f>
        <v>2082087</v>
      </c>
      <c r="J128" s="2078">
        <f>I128/D128*100</f>
        <v>98.347110170612353</v>
      </c>
      <c r="K128" s="2199">
        <v>4</v>
      </c>
      <c r="L128" s="2203">
        <f>K128/G128*100</f>
        <v>1.642912884544297E-2</v>
      </c>
      <c r="M128" s="2199">
        <f>+K128-G128</f>
        <v>-24343</v>
      </c>
      <c r="N128" s="3104"/>
      <c r="O128" s="1843"/>
    </row>
    <row r="129" spans="1:15" s="2186" customFormat="1" ht="40.5" hidden="1" customHeight="1" x14ac:dyDescent="0.2">
      <c r="A129" s="3491" t="s">
        <v>41</v>
      </c>
      <c r="B129" s="2179" t="s">
        <v>144</v>
      </c>
      <c r="C129" s="1700" t="s">
        <v>166</v>
      </c>
      <c r="D129" s="2180"/>
      <c r="E129" s="2182"/>
      <c r="F129" s="2182"/>
      <c r="G129" s="2182"/>
      <c r="H129" s="2181"/>
      <c r="I129" s="2180"/>
      <c r="J129" s="2183"/>
      <c r="K129" s="2184"/>
      <c r="L129" s="2185"/>
      <c r="M129" s="2181"/>
      <c r="N129" s="3492" t="s">
        <v>139</v>
      </c>
      <c r="O129" s="1843"/>
    </row>
    <row r="130" spans="1:15" s="2186" customFormat="1" ht="13.5" hidden="1" customHeight="1" x14ac:dyDescent="0.2">
      <c r="A130" s="3484"/>
      <c r="B130" s="220" t="s">
        <v>2</v>
      </c>
      <c r="C130" s="2032"/>
      <c r="D130" s="2018">
        <f t="shared" ref="D130:K130" si="80">D131</f>
        <v>0</v>
      </c>
      <c r="E130" s="2021">
        <f t="shared" si="80"/>
        <v>0</v>
      </c>
      <c r="F130" s="2021">
        <f t="shared" si="80"/>
        <v>0</v>
      </c>
      <c r="G130" s="2085">
        <f t="shared" si="80"/>
        <v>0</v>
      </c>
      <c r="H130" s="2094">
        <f t="shared" si="80"/>
        <v>0</v>
      </c>
      <c r="I130" s="2018">
        <f>+K130+E130+F130</f>
        <v>0</v>
      </c>
      <c r="J130" s="2084" t="e">
        <f>I130/D130*100</f>
        <v>#DIV/0!</v>
      </c>
      <c r="K130" s="2085">
        <f t="shared" si="80"/>
        <v>0</v>
      </c>
      <c r="L130" s="2083">
        <v>0</v>
      </c>
      <c r="M130" s="2083">
        <f t="shared" si="55"/>
        <v>0</v>
      </c>
      <c r="N130" s="3188"/>
      <c r="O130" s="1843"/>
    </row>
    <row r="131" spans="1:15" s="2204" customFormat="1" ht="13.5" hidden="1" customHeight="1" x14ac:dyDescent="0.2">
      <c r="A131" s="3484"/>
      <c r="B131" s="351" t="s">
        <v>17</v>
      </c>
      <c r="C131" s="3490" t="s">
        <v>140</v>
      </c>
      <c r="D131" s="2046">
        <f>+D132</f>
        <v>0</v>
      </c>
      <c r="E131" s="2048">
        <f>+E132</f>
        <v>0</v>
      </c>
      <c r="F131" s="2048">
        <f>+F132</f>
        <v>0</v>
      </c>
      <c r="G131" s="2063">
        <f>+G132</f>
        <v>0</v>
      </c>
      <c r="H131" s="2086">
        <v>0</v>
      </c>
      <c r="I131" s="2046">
        <f>+K131+E131+F131</f>
        <v>0</v>
      </c>
      <c r="J131" s="2047" t="e">
        <f>I131/D131*100</f>
        <v>#DIV/0!</v>
      </c>
      <c r="K131" s="2063">
        <f>+K132</f>
        <v>0</v>
      </c>
      <c r="L131" s="2086">
        <v>0</v>
      </c>
      <c r="M131" s="2086">
        <f t="shared" si="55"/>
        <v>0</v>
      </c>
      <c r="N131" s="3188"/>
      <c r="O131" s="1843"/>
    </row>
    <row r="132" spans="1:15" s="2186" customFormat="1" ht="13.5" hidden="1" customHeight="1" thickBot="1" x14ac:dyDescent="0.25">
      <c r="A132" s="3484"/>
      <c r="B132" s="2205" t="s">
        <v>4</v>
      </c>
      <c r="C132" s="3493"/>
      <c r="D132" s="2206">
        <f>+E132+F132+G132+H132</f>
        <v>0</v>
      </c>
      <c r="E132" s="2207"/>
      <c r="F132" s="2207"/>
      <c r="G132" s="2208">
        <v>0</v>
      </c>
      <c r="H132" s="2209">
        <v>0</v>
      </c>
      <c r="I132" s="2206">
        <f>+K132+E132+F132</f>
        <v>0</v>
      </c>
      <c r="J132" s="2210" t="e">
        <f>I132/D132*100</f>
        <v>#DIV/0!</v>
      </c>
      <c r="K132" s="2208">
        <v>0</v>
      </c>
      <c r="L132" s="2211">
        <v>0</v>
      </c>
      <c r="M132" s="2209">
        <f t="shared" si="55"/>
        <v>0</v>
      </c>
      <c r="N132" s="3188"/>
      <c r="O132" s="1843"/>
    </row>
    <row r="133" spans="1:15" s="2186" customFormat="1" ht="41.25" customHeight="1" x14ac:dyDescent="0.2">
      <c r="A133" s="3484" t="s">
        <v>35</v>
      </c>
      <c r="B133" s="2026" t="s">
        <v>269</v>
      </c>
      <c r="C133" s="2027" t="s">
        <v>171</v>
      </c>
      <c r="D133" s="2028"/>
      <c r="E133" s="2029"/>
      <c r="F133" s="2029"/>
      <c r="G133" s="2029"/>
      <c r="H133" s="2030"/>
      <c r="I133" s="2028"/>
      <c r="J133" s="2031"/>
      <c r="K133" s="2029"/>
      <c r="L133" s="2109"/>
      <c r="M133" s="2030"/>
      <c r="N133" s="3487" t="s">
        <v>329</v>
      </c>
      <c r="O133" s="1843"/>
    </row>
    <row r="134" spans="1:15" s="2186" customFormat="1" ht="15" customHeight="1" thickBot="1" x14ac:dyDescent="0.25">
      <c r="A134" s="3485"/>
      <c r="B134" s="220" t="s">
        <v>2</v>
      </c>
      <c r="C134" s="2032"/>
      <c r="D134" s="2034">
        <f>D135</f>
        <v>21903243</v>
      </c>
      <c r="E134" s="2212">
        <f t="shared" ref="E134:K134" si="81">E135</f>
        <v>4992196</v>
      </c>
      <c r="F134" s="2212">
        <f t="shared" si="81"/>
        <v>5411141</v>
      </c>
      <c r="G134" s="2212">
        <f t="shared" si="81"/>
        <v>6403906</v>
      </c>
      <c r="H134" s="2111">
        <f t="shared" si="81"/>
        <v>5096000</v>
      </c>
      <c r="I134" s="2034">
        <f>+K134+E134+F134-511352</f>
        <v>11043142</v>
      </c>
      <c r="J134" s="2035">
        <f>I134/D134*100</f>
        <v>50.417839951828135</v>
      </c>
      <c r="K134" s="2212">
        <f t="shared" si="81"/>
        <v>1151157</v>
      </c>
      <c r="L134" s="2112">
        <f>K134/G134*100</f>
        <v>17.975857234631491</v>
      </c>
      <c r="M134" s="2045">
        <f>+K134-G134</f>
        <v>-5252749</v>
      </c>
      <c r="N134" s="3488"/>
      <c r="O134" s="1843"/>
    </row>
    <row r="135" spans="1:15" s="2204" customFormat="1" ht="15" customHeight="1" x14ac:dyDescent="0.2">
      <c r="A135" s="3486"/>
      <c r="B135" s="351" t="s">
        <v>17</v>
      </c>
      <c r="C135" s="3490" t="s">
        <v>135</v>
      </c>
      <c r="D135" s="1684">
        <f t="shared" ref="D135:H135" si="82">+D136</f>
        <v>21903243</v>
      </c>
      <c r="E135" s="1682">
        <f t="shared" si="82"/>
        <v>4992196</v>
      </c>
      <c r="F135" s="1682">
        <f t="shared" si="82"/>
        <v>5411141</v>
      </c>
      <c r="G135" s="1682">
        <f t="shared" si="82"/>
        <v>6403906</v>
      </c>
      <c r="H135" s="2036">
        <f t="shared" si="82"/>
        <v>5096000</v>
      </c>
      <c r="I135" s="1684">
        <f>+K135+E135+F135-511352</f>
        <v>11043142</v>
      </c>
      <c r="J135" s="2037">
        <f>I135/D135*100</f>
        <v>50.417839951828135</v>
      </c>
      <c r="K135" s="1682">
        <f>+K136</f>
        <v>1151157</v>
      </c>
      <c r="L135" s="2142">
        <f>K135/G135*100</f>
        <v>17.975857234631491</v>
      </c>
      <c r="M135" s="1932">
        <f>+K135-G135</f>
        <v>-5252749</v>
      </c>
      <c r="N135" s="3489"/>
      <c r="O135" s="1843"/>
    </row>
    <row r="136" spans="1:15" s="2186" customFormat="1" ht="18.75" customHeight="1" thickBot="1" x14ac:dyDescent="0.25">
      <c r="A136" s="3485"/>
      <c r="B136" s="2213" t="s">
        <v>4</v>
      </c>
      <c r="C136" s="3403"/>
      <c r="D136" s="2214">
        <f>+E136+F136+G136+H136</f>
        <v>21903243</v>
      </c>
      <c r="E136" s="2215">
        <v>4992196</v>
      </c>
      <c r="F136" s="2215">
        <v>5411141</v>
      </c>
      <c r="G136" s="2215">
        <v>6403906</v>
      </c>
      <c r="H136" s="2216">
        <f>4666000+430000</f>
        <v>5096000</v>
      </c>
      <c r="I136" s="2214">
        <f>+K136+E136+F136-511352</f>
        <v>11043142</v>
      </c>
      <c r="J136" s="2078">
        <f>I136/D136*100</f>
        <v>50.417839951828135</v>
      </c>
      <c r="K136" s="2215">
        <v>1151157</v>
      </c>
      <c r="L136" s="2203">
        <f>K136/G136*100</f>
        <v>17.975857234631491</v>
      </c>
      <c r="M136" s="2199">
        <f>+K136-G136</f>
        <v>-5252749</v>
      </c>
      <c r="N136" s="3488"/>
      <c r="O136" s="1843"/>
    </row>
    <row r="137" spans="1:15" s="1844" customFormat="1" x14ac:dyDescent="0.2">
      <c r="C137" s="2219"/>
      <c r="E137" s="433"/>
      <c r="N137" s="2219"/>
    </row>
    <row r="138" spans="1:15" s="1844" customFormat="1" x14ac:dyDescent="0.2">
      <c r="C138" s="2219"/>
      <c r="E138" s="433"/>
      <c r="N138" s="2219"/>
    </row>
    <row r="139" spans="1:15" s="1844" customFormat="1" x14ac:dyDescent="0.2">
      <c r="C139" s="2219"/>
      <c r="E139" s="433"/>
      <c r="N139" s="2219"/>
    </row>
    <row r="140" spans="1:15" s="1844" customFormat="1" x14ac:dyDescent="0.2">
      <c r="C140" s="2219"/>
      <c r="E140" s="433"/>
      <c r="N140" s="2219"/>
    </row>
    <row r="141" spans="1:15" s="1844" customFormat="1" x14ac:dyDescent="0.2">
      <c r="C141" s="2219"/>
      <c r="E141" s="433"/>
      <c r="N141" s="2219"/>
    </row>
    <row r="142" spans="1:15" s="1844" customFormat="1" x14ac:dyDescent="0.2">
      <c r="C142" s="2219"/>
      <c r="E142" s="433"/>
      <c r="N142" s="2219"/>
    </row>
    <row r="143" spans="1:15" s="1844" customFormat="1" x14ac:dyDescent="0.2">
      <c r="C143" s="2219"/>
      <c r="E143" s="433"/>
      <c r="N143" s="2219"/>
    </row>
    <row r="144" spans="1:15" s="1844" customFormat="1" x14ac:dyDescent="0.2">
      <c r="C144" s="2219"/>
      <c r="E144" s="433"/>
      <c r="N144" s="2219"/>
    </row>
    <row r="145" spans="3:14" s="1844" customFormat="1" x14ac:dyDescent="0.2">
      <c r="C145" s="2219"/>
      <c r="E145" s="433"/>
      <c r="N145" s="2219"/>
    </row>
    <row r="146" spans="3:14" s="1844" customFormat="1" x14ac:dyDescent="0.2">
      <c r="C146" s="2219"/>
      <c r="E146" s="433"/>
      <c r="N146" s="2219"/>
    </row>
    <row r="147" spans="3:14" s="1844" customFormat="1" x14ac:dyDescent="0.2">
      <c r="C147" s="2219"/>
      <c r="E147" s="433"/>
      <c r="N147" s="2219"/>
    </row>
    <row r="148" spans="3:14" s="1844" customFormat="1" x14ac:dyDescent="0.2">
      <c r="C148" s="2219"/>
      <c r="E148" s="433"/>
      <c r="N148" s="2219"/>
    </row>
    <row r="149" spans="3:14" s="1844" customFormat="1" x14ac:dyDescent="0.2">
      <c r="C149" s="2219"/>
      <c r="E149" s="433"/>
      <c r="N149" s="2219"/>
    </row>
    <row r="150" spans="3:14" s="1844" customFormat="1" x14ac:dyDescent="0.2">
      <c r="C150" s="2219"/>
      <c r="E150" s="433"/>
      <c r="N150" s="2219"/>
    </row>
    <row r="151" spans="3:14" s="1844" customFormat="1" x14ac:dyDescent="0.2">
      <c r="C151" s="2219"/>
      <c r="E151" s="433"/>
      <c r="N151" s="2219"/>
    </row>
    <row r="152" spans="3:14" s="1844" customFormat="1" x14ac:dyDescent="0.2">
      <c r="C152" s="2219"/>
      <c r="E152" s="433"/>
      <c r="N152" s="2219"/>
    </row>
    <row r="153" spans="3:14" s="1844" customFormat="1" x14ac:dyDescent="0.2">
      <c r="C153" s="2219"/>
      <c r="E153" s="433"/>
      <c r="N153" s="2219"/>
    </row>
    <row r="154" spans="3:14" s="1844" customFormat="1" x14ac:dyDescent="0.2">
      <c r="C154" s="2219"/>
      <c r="E154" s="433"/>
      <c r="N154" s="2219"/>
    </row>
    <row r="155" spans="3:14" s="1844" customFormat="1" x14ac:dyDescent="0.2">
      <c r="C155" s="2219"/>
      <c r="E155" s="433"/>
      <c r="N155" s="2219"/>
    </row>
    <row r="156" spans="3:14" s="1844" customFormat="1" x14ac:dyDescent="0.2">
      <c r="C156" s="2219"/>
      <c r="E156" s="433"/>
      <c r="N156" s="2219"/>
    </row>
    <row r="157" spans="3:14" s="1844" customFormat="1" x14ac:dyDescent="0.2">
      <c r="C157" s="2219"/>
      <c r="E157" s="433"/>
      <c r="N157" s="2219"/>
    </row>
    <row r="158" spans="3:14" s="1844" customFormat="1" x14ac:dyDescent="0.2">
      <c r="C158" s="2219"/>
      <c r="E158" s="433"/>
      <c r="N158" s="2219"/>
    </row>
    <row r="159" spans="3:14" s="1844" customFormat="1" x14ac:dyDescent="0.2">
      <c r="C159" s="2219"/>
      <c r="E159" s="433"/>
      <c r="N159" s="2219"/>
    </row>
    <row r="160" spans="3:14" s="1844" customFormat="1" x14ac:dyDescent="0.2">
      <c r="C160" s="2219"/>
      <c r="E160" s="433"/>
      <c r="N160" s="2219"/>
    </row>
    <row r="161" spans="3:14" s="1844" customFormat="1" x14ac:dyDescent="0.2">
      <c r="C161" s="2219"/>
      <c r="E161" s="433"/>
      <c r="N161" s="2219"/>
    </row>
    <row r="162" spans="3:14" s="1844" customFormat="1" x14ac:dyDescent="0.2">
      <c r="C162" s="2219"/>
      <c r="E162" s="433"/>
      <c r="N162" s="2219"/>
    </row>
    <row r="163" spans="3:14" s="1844" customFormat="1" x14ac:dyDescent="0.2">
      <c r="C163" s="2219"/>
      <c r="E163" s="433"/>
      <c r="N163" s="2219"/>
    </row>
    <row r="164" spans="3:14" s="1844" customFormat="1" x14ac:dyDescent="0.2">
      <c r="C164" s="2219"/>
      <c r="E164" s="433"/>
      <c r="N164" s="2219"/>
    </row>
    <row r="165" spans="3:14" s="1844" customFormat="1" x14ac:dyDescent="0.2">
      <c r="C165" s="2219"/>
      <c r="E165" s="433"/>
      <c r="N165" s="2219"/>
    </row>
    <row r="166" spans="3:14" s="1844" customFormat="1" x14ac:dyDescent="0.2">
      <c r="C166" s="2219"/>
      <c r="E166" s="433"/>
      <c r="N166" s="2219"/>
    </row>
    <row r="167" spans="3:14" s="1844" customFormat="1" x14ac:dyDescent="0.2">
      <c r="C167" s="2219"/>
      <c r="E167" s="433"/>
      <c r="N167" s="2219"/>
    </row>
    <row r="168" spans="3:14" s="1844" customFormat="1" x14ac:dyDescent="0.2">
      <c r="C168" s="2219"/>
      <c r="E168" s="433"/>
      <c r="N168" s="2219"/>
    </row>
    <row r="169" spans="3:14" s="1844" customFormat="1" x14ac:dyDescent="0.2">
      <c r="C169" s="2219"/>
      <c r="E169" s="433"/>
      <c r="N169" s="2219"/>
    </row>
    <row r="170" spans="3:14" s="1844" customFormat="1" x14ac:dyDescent="0.2">
      <c r="C170" s="2219"/>
      <c r="E170" s="433"/>
      <c r="N170" s="2219"/>
    </row>
    <row r="171" spans="3:14" s="1844" customFormat="1" x14ac:dyDescent="0.2">
      <c r="C171" s="2219"/>
      <c r="E171" s="433"/>
      <c r="N171" s="2219"/>
    </row>
    <row r="172" spans="3:14" s="1844" customFormat="1" x14ac:dyDescent="0.2">
      <c r="C172" s="2219"/>
      <c r="E172" s="433"/>
      <c r="N172" s="2219"/>
    </row>
    <row r="173" spans="3:14" s="1844" customFormat="1" x14ac:dyDescent="0.2">
      <c r="C173" s="2219"/>
      <c r="E173" s="433"/>
      <c r="N173" s="2219"/>
    </row>
    <row r="174" spans="3:14" s="1844" customFormat="1" x14ac:dyDescent="0.2">
      <c r="C174" s="2219"/>
      <c r="E174" s="433"/>
      <c r="N174" s="2219"/>
    </row>
    <row r="175" spans="3:14" s="1844" customFormat="1" x14ac:dyDescent="0.2">
      <c r="C175" s="2219"/>
      <c r="E175" s="433"/>
      <c r="N175" s="2219"/>
    </row>
    <row r="176" spans="3:14" s="1844" customFormat="1" x14ac:dyDescent="0.2">
      <c r="C176" s="2219"/>
      <c r="E176" s="433"/>
      <c r="N176" s="2219"/>
    </row>
    <row r="177" spans="3:14" s="1844" customFormat="1" x14ac:dyDescent="0.2">
      <c r="C177" s="2219"/>
      <c r="E177" s="433"/>
      <c r="N177" s="2219"/>
    </row>
    <row r="178" spans="3:14" s="1844" customFormat="1" x14ac:dyDescent="0.2">
      <c r="C178" s="2219"/>
      <c r="E178" s="433"/>
      <c r="N178" s="2219"/>
    </row>
    <row r="179" spans="3:14" s="1844" customFormat="1" x14ac:dyDescent="0.2">
      <c r="C179" s="2219"/>
      <c r="E179" s="433"/>
      <c r="N179" s="2219"/>
    </row>
    <row r="180" spans="3:14" s="1844" customFormat="1" x14ac:dyDescent="0.2">
      <c r="C180" s="2219"/>
      <c r="E180" s="433"/>
      <c r="N180" s="2219"/>
    </row>
    <row r="181" spans="3:14" s="1844" customFormat="1" x14ac:dyDescent="0.2">
      <c r="C181" s="2219"/>
      <c r="E181" s="433"/>
      <c r="N181" s="2219"/>
    </row>
    <row r="182" spans="3:14" s="1844" customFormat="1" x14ac:dyDescent="0.2">
      <c r="C182" s="2219"/>
      <c r="E182" s="433"/>
      <c r="N182" s="2219"/>
    </row>
    <row r="183" spans="3:14" s="1844" customFormat="1" x14ac:dyDescent="0.2">
      <c r="C183" s="2219"/>
      <c r="E183" s="433"/>
      <c r="N183" s="2219"/>
    </row>
    <row r="184" spans="3:14" s="1844" customFormat="1" x14ac:dyDescent="0.2">
      <c r="C184" s="2219"/>
      <c r="E184" s="433"/>
      <c r="N184" s="2219"/>
    </row>
    <row r="185" spans="3:14" s="1844" customFormat="1" x14ac:dyDescent="0.2">
      <c r="C185" s="2219"/>
      <c r="E185" s="433"/>
      <c r="N185" s="2219"/>
    </row>
    <row r="186" spans="3:14" s="1844" customFormat="1" x14ac:dyDescent="0.2">
      <c r="C186" s="2219"/>
      <c r="E186" s="433"/>
      <c r="N186" s="2219"/>
    </row>
    <row r="187" spans="3:14" s="1844" customFormat="1" x14ac:dyDescent="0.2">
      <c r="C187" s="2219"/>
      <c r="E187" s="433"/>
      <c r="N187" s="2219"/>
    </row>
    <row r="188" spans="3:14" s="1844" customFormat="1" x14ac:dyDescent="0.2">
      <c r="C188" s="2219"/>
      <c r="E188" s="433"/>
      <c r="N188" s="2219"/>
    </row>
    <row r="189" spans="3:14" s="1844" customFormat="1" x14ac:dyDescent="0.2">
      <c r="C189" s="2219"/>
      <c r="E189" s="433"/>
      <c r="N189" s="2219"/>
    </row>
    <row r="190" spans="3:14" s="1844" customFormat="1" x14ac:dyDescent="0.2">
      <c r="C190" s="2219"/>
      <c r="E190" s="433"/>
      <c r="N190" s="2219"/>
    </row>
    <row r="191" spans="3:14" s="1844" customFormat="1" x14ac:dyDescent="0.2">
      <c r="C191" s="2219"/>
      <c r="E191" s="433"/>
      <c r="N191" s="2219"/>
    </row>
    <row r="192" spans="3:14" s="1844" customFormat="1" x14ac:dyDescent="0.2">
      <c r="C192" s="2219"/>
      <c r="E192" s="433"/>
      <c r="N192" s="2219"/>
    </row>
    <row r="193" spans="3:14" s="1844" customFormat="1" x14ac:dyDescent="0.2">
      <c r="C193" s="2219"/>
      <c r="E193" s="433"/>
      <c r="N193" s="2219"/>
    </row>
    <row r="194" spans="3:14" s="1844" customFormat="1" x14ac:dyDescent="0.2">
      <c r="C194" s="2219"/>
      <c r="E194" s="433"/>
      <c r="N194" s="2219"/>
    </row>
    <row r="195" spans="3:14" s="1844" customFormat="1" x14ac:dyDescent="0.2">
      <c r="C195" s="2219"/>
      <c r="E195" s="433"/>
      <c r="N195" s="2219"/>
    </row>
    <row r="196" spans="3:14" s="1844" customFormat="1" x14ac:dyDescent="0.2">
      <c r="C196" s="2219"/>
      <c r="E196" s="433"/>
      <c r="N196" s="2219"/>
    </row>
    <row r="197" spans="3:14" s="1844" customFormat="1" x14ac:dyDescent="0.2">
      <c r="C197" s="2219"/>
      <c r="E197" s="433"/>
      <c r="N197" s="2219"/>
    </row>
    <row r="198" spans="3:14" s="1844" customFormat="1" x14ac:dyDescent="0.2">
      <c r="C198" s="2219"/>
      <c r="E198" s="433"/>
      <c r="N198" s="2219"/>
    </row>
    <row r="199" spans="3:14" s="1844" customFormat="1" x14ac:dyDescent="0.2">
      <c r="C199" s="2219"/>
      <c r="E199" s="433"/>
      <c r="N199" s="2219"/>
    </row>
    <row r="200" spans="3:14" s="1844" customFormat="1" x14ac:dyDescent="0.2">
      <c r="C200" s="2219"/>
      <c r="E200" s="433"/>
      <c r="N200" s="2219"/>
    </row>
    <row r="201" spans="3:14" s="1844" customFormat="1" x14ac:dyDescent="0.2">
      <c r="C201" s="2219"/>
      <c r="E201" s="433"/>
      <c r="N201" s="2219"/>
    </row>
    <row r="202" spans="3:14" s="1844" customFormat="1" x14ac:dyDescent="0.2">
      <c r="C202" s="2219"/>
      <c r="E202" s="433"/>
      <c r="N202" s="2219"/>
    </row>
    <row r="203" spans="3:14" s="1844" customFormat="1" x14ac:dyDescent="0.2">
      <c r="C203" s="2219"/>
      <c r="E203" s="433"/>
      <c r="N203" s="2219"/>
    </row>
    <row r="204" spans="3:14" s="1844" customFormat="1" x14ac:dyDescent="0.2">
      <c r="C204" s="2219"/>
      <c r="E204" s="433"/>
      <c r="N204" s="2219"/>
    </row>
    <row r="205" spans="3:14" s="1844" customFormat="1" x14ac:dyDescent="0.2">
      <c r="C205" s="2219"/>
      <c r="E205" s="433"/>
      <c r="N205" s="2219"/>
    </row>
    <row r="206" spans="3:14" s="1844" customFormat="1" x14ac:dyDescent="0.2">
      <c r="C206" s="2219"/>
      <c r="E206" s="433"/>
      <c r="N206" s="2219"/>
    </row>
    <row r="207" spans="3:14" s="1844" customFormat="1" x14ac:dyDescent="0.2">
      <c r="C207" s="2219"/>
      <c r="E207" s="433"/>
      <c r="N207" s="2219"/>
    </row>
    <row r="208" spans="3:14" s="1844" customFormat="1" x14ac:dyDescent="0.2">
      <c r="C208" s="2219"/>
      <c r="E208" s="433"/>
      <c r="N208" s="2219"/>
    </row>
    <row r="209" spans="3:14" s="1844" customFormat="1" x14ac:dyDescent="0.2">
      <c r="C209" s="2219"/>
      <c r="E209" s="433"/>
      <c r="N209" s="2219"/>
    </row>
    <row r="210" spans="3:14" s="1844" customFormat="1" x14ac:dyDescent="0.2">
      <c r="C210" s="2219"/>
      <c r="E210" s="433"/>
      <c r="N210" s="2219"/>
    </row>
    <row r="211" spans="3:14" s="1844" customFormat="1" x14ac:dyDescent="0.2">
      <c r="C211" s="2219"/>
      <c r="E211" s="433"/>
      <c r="N211" s="2219"/>
    </row>
    <row r="212" spans="3:14" s="1844" customFormat="1" x14ac:dyDescent="0.2">
      <c r="C212" s="2219"/>
      <c r="E212" s="433"/>
      <c r="N212" s="2219"/>
    </row>
    <row r="213" spans="3:14" s="1844" customFormat="1" x14ac:dyDescent="0.2">
      <c r="C213" s="2219"/>
      <c r="E213" s="433"/>
      <c r="N213" s="2219"/>
    </row>
    <row r="214" spans="3:14" s="1844" customFormat="1" x14ac:dyDescent="0.2">
      <c r="C214" s="2219"/>
      <c r="E214" s="433"/>
      <c r="N214" s="2219"/>
    </row>
    <row r="215" spans="3:14" s="1844" customFormat="1" x14ac:dyDescent="0.2">
      <c r="C215" s="2219"/>
      <c r="E215" s="433"/>
      <c r="N215" s="2219"/>
    </row>
    <row r="216" spans="3:14" s="1844" customFormat="1" x14ac:dyDescent="0.2">
      <c r="C216" s="2219"/>
      <c r="E216" s="433"/>
      <c r="N216" s="2219"/>
    </row>
    <row r="217" spans="3:14" s="1844" customFormat="1" x14ac:dyDescent="0.2">
      <c r="C217" s="2219"/>
      <c r="E217" s="433"/>
      <c r="N217" s="2219"/>
    </row>
    <row r="218" spans="3:14" s="1844" customFormat="1" x14ac:dyDescent="0.2">
      <c r="C218" s="2219"/>
      <c r="E218" s="433"/>
      <c r="N218" s="2219"/>
    </row>
    <row r="219" spans="3:14" s="1844" customFormat="1" x14ac:dyDescent="0.2">
      <c r="C219" s="2219"/>
      <c r="E219" s="433"/>
      <c r="N219" s="2219"/>
    </row>
    <row r="220" spans="3:14" s="1844" customFormat="1" x14ac:dyDescent="0.2">
      <c r="C220" s="2219"/>
      <c r="E220" s="433"/>
      <c r="N220" s="2219"/>
    </row>
    <row r="221" spans="3:14" s="1844" customFormat="1" x14ac:dyDescent="0.2">
      <c r="C221" s="2219"/>
      <c r="E221" s="433"/>
      <c r="N221" s="2219"/>
    </row>
    <row r="222" spans="3:14" s="1844" customFormat="1" x14ac:dyDescent="0.2">
      <c r="C222" s="2219"/>
      <c r="E222" s="433"/>
      <c r="N222" s="2219"/>
    </row>
    <row r="223" spans="3:14" s="1844" customFormat="1" x14ac:dyDescent="0.2">
      <c r="C223" s="2219"/>
      <c r="E223" s="433"/>
      <c r="N223" s="2219"/>
    </row>
    <row r="224" spans="3:14" s="1844" customFormat="1" x14ac:dyDescent="0.2">
      <c r="C224" s="2219"/>
      <c r="E224" s="433"/>
      <c r="N224" s="2219"/>
    </row>
    <row r="225" spans="3:14" s="1844" customFormat="1" x14ac:dyDescent="0.2">
      <c r="C225" s="2219"/>
      <c r="E225" s="433"/>
      <c r="N225" s="2219"/>
    </row>
    <row r="226" spans="3:14" s="1844" customFormat="1" x14ac:dyDescent="0.2">
      <c r="C226" s="2219"/>
      <c r="E226" s="433"/>
      <c r="N226" s="2219"/>
    </row>
    <row r="227" spans="3:14" s="1844" customFormat="1" x14ac:dyDescent="0.2">
      <c r="C227" s="2219"/>
      <c r="E227" s="433"/>
      <c r="N227" s="2219"/>
    </row>
    <row r="228" spans="3:14" s="1844" customFormat="1" x14ac:dyDescent="0.2">
      <c r="C228" s="2219"/>
      <c r="E228" s="433"/>
      <c r="N228" s="2219"/>
    </row>
    <row r="229" spans="3:14" s="1844" customFormat="1" x14ac:dyDescent="0.2">
      <c r="C229" s="2219"/>
      <c r="E229" s="433"/>
      <c r="N229" s="2219"/>
    </row>
    <row r="230" spans="3:14" s="1844" customFormat="1" x14ac:dyDescent="0.2">
      <c r="C230" s="2219"/>
      <c r="E230" s="433"/>
      <c r="N230" s="2219"/>
    </row>
    <row r="231" spans="3:14" s="1844" customFormat="1" x14ac:dyDescent="0.2">
      <c r="C231" s="2219"/>
      <c r="E231" s="433"/>
      <c r="N231" s="2219"/>
    </row>
    <row r="232" spans="3:14" s="1844" customFormat="1" x14ac:dyDescent="0.2">
      <c r="C232" s="2219"/>
      <c r="E232" s="433"/>
      <c r="N232" s="2219"/>
    </row>
    <row r="233" spans="3:14" s="1844" customFormat="1" x14ac:dyDescent="0.2">
      <c r="C233" s="2219"/>
      <c r="E233" s="433"/>
      <c r="N233" s="2219"/>
    </row>
    <row r="234" spans="3:14" s="1844" customFormat="1" x14ac:dyDescent="0.2">
      <c r="C234" s="2219"/>
      <c r="E234" s="433"/>
      <c r="N234" s="2219"/>
    </row>
    <row r="235" spans="3:14" s="1844" customFormat="1" x14ac:dyDescent="0.2">
      <c r="C235" s="2219"/>
      <c r="E235" s="433"/>
      <c r="N235" s="2219"/>
    </row>
    <row r="236" spans="3:14" s="1844" customFormat="1" x14ac:dyDescent="0.2">
      <c r="C236" s="2219"/>
      <c r="E236" s="433"/>
      <c r="N236" s="2219"/>
    </row>
    <row r="237" spans="3:14" s="1844" customFormat="1" x14ac:dyDescent="0.2">
      <c r="C237" s="2219"/>
      <c r="E237" s="433"/>
      <c r="N237" s="2219"/>
    </row>
    <row r="238" spans="3:14" s="1844" customFormat="1" x14ac:dyDescent="0.2">
      <c r="C238" s="2219"/>
      <c r="E238" s="433"/>
      <c r="N238" s="2219"/>
    </row>
    <row r="239" spans="3:14" s="1844" customFormat="1" x14ac:dyDescent="0.2">
      <c r="C239" s="2219"/>
      <c r="E239" s="433"/>
      <c r="N239" s="2219"/>
    </row>
    <row r="240" spans="3:14" s="1844" customFormat="1" x14ac:dyDescent="0.2">
      <c r="C240" s="2219"/>
      <c r="E240" s="433"/>
      <c r="N240" s="2219"/>
    </row>
    <row r="241" spans="3:14" s="1844" customFormat="1" x14ac:dyDescent="0.2">
      <c r="C241" s="2219"/>
      <c r="E241" s="433"/>
      <c r="N241" s="2219"/>
    </row>
    <row r="242" spans="3:14" s="1844" customFormat="1" x14ac:dyDescent="0.2">
      <c r="C242" s="2219"/>
      <c r="E242" s="433"/>
      <c r="N242" s="2219"/>
    </row>
    <row r="243" spans="3:14" s="1844" customFormat="1" x14ac:dyDescent="0.2">
      <c r="C243" s="2219"/>
      <c r="E243" s="433"/>
      <c r="N243" s="2219"/>
    </row>
    <row r="244" spans="3:14" s="1844" customFormat="1" x14ac:dyDescent="0.2">
      <c r="C244" s="2219"/>
      <c r="E244" s="433"/>
      <c r="N244" s="2219"/>
    </row>
    <row r="245" spans="3:14" s="1844" customFormat="1" x14ac:dyDescent="0.2">
      <c r="C245" s="2219"/>
      <c r="E245" s="433"/>
      <c r="N245" s="2219"/>
    </row>
    <row r="246" spans="3:14" s="1844" customFormat="1" x14ac:dyDescent="0.2">
      <c r="C246" s="2219"/>
      <c r="E246" s="433"/>
      <c r="N246" s="2219"/>
    </row>
    <row r="247" spans="3:14" s="1844" customFormat="1" x14ac:dyDescent="0.2">
      <c r="C247" s="2219"/>
      <c r="E247" s="433"/>
      <c r="N247" s="2219"/>
    </row>
    <row r="248" spans="3:14" s="1844" customFormat="1" x14ac:dyDescent="0.2">
      <c r="C248" s="2219"/>
      <c r="E248" s="433"/>
      <c r="N248" s="2219"/>
    </row>
    <row r="249" spans="3:14" s="1844" customFormat="1" x14ac:dyDescent="0.2">
      <c r="C249" s="2219"/>
      <c r="E249" s="433"/>
      <c r="N249" s="2219"/>
    </row>
    <row r="250" spans="3:14" s="1844" customFormat="1" x14ac:dyDescent="0.2">
      <c r="C250" s="2219"/>
      <c r="E250" s="433"/>
      <c r="N250" s="2219"/>
    </row>
    <row r="251" spans="3:14" s="1844" customFormat="1" x14ac:dyDescent="0.2">
      <c r="C251" s="2219"/>
      <c r="E251" s="433"/>
      <c r="N251" s="2219"/>
    </row>
    <row r="252" spans="3:14" s="1844" customFormat="1" x14ac:dyDescent="0.2">
      <c r="C252" s="2219"/>
      <c r="E252" s="433"/>
      <c r="N252" s="2219"/>
    </row>
    <row r="253" spans="3:14" s="1844" customFormat="1" x14ac:dyDescent="0.2">
      <c r="C253" s="2219"/>
      <c r="E253" s="433"/>
      <c r="N253" s="2219"/>
    </row>
    <row r="254" spans="3:14" s="1844" customFormat="1" x14ac:dyDescent="0.2">
      <c r="C254" s="2219"/>
      <c r="E254" s="433"/>
      <c r="N254" s="2219"/>
    </row>
    <row r="255" spans="3:14" s="1844" customFormat="1" x14ac:dyDescent="0.2">
      <c r="C255" s="2219"/>
      <c r="E255" s="433"/>
      <c r="N255" s="2219"/>
    </row>
    <row r="256" spans="3:14" s="1844" customFormat="1" x14ac:dyDescent="0.2">
      <c r="C256" s="2219"/>
      <c r="E256" s="433"/>
      <c r="N256" s="2219"/>
    </row>
    <row r="257" spans="3:14" s="1844" customFormat="1" x14ac:dyDescent="0.2">
      <c r="C257" s="2219"/>
      <c r="E257" s="433"/>
      <c r="N257" s="2219"/>
    </row>
    <row r="258" spans="3:14" s="1844" customFormat="1" x14ac:dyDescent="0.2">
      <c r="C258" s="2219"/>
      <c r="E258" s="433"/>
      <c r="N258" s="2219"/>
    </row>
    <row r="259" spans="3:14" s="1844" customFormat="1" x14ac:dyDescent="0.2">
      <c r="C259" s="2219"/>
      <c r="E259" s="433"/>
      <c r="N259" s="2219"/>
    </row>
    <row r="260" spans="3:14" s="1844" customFormat="1" x14ac:dyDescent="0.2">
      <c r="C260" s="2219"/>
      <c r="E260" s="433"/>
      <c r="N260" s="2219"/>
    </row>
    <row r="261" spans="3:14" s="1844" customFormat="1" x14ac:dyDescent="0.2">
      <c r="C261" s="2219"/>
      <c r="E261" s="433"/>
      <c r="N261" s="2219"/>
    </row>
    <row r="262" spans="3:14" s="1844" customFormat="1" x14ac:dyDescent="0.2">
      <c r="C262" s="2219"/>
      <c r="E262" s="433"/>
      <c r="N262" s="2219"/>
    </row>
    <row r="263" spans="3:14" s="1844" customFormat="1" x14ac:dyDescent="0.2">
      <c r="C263" s="2219"/>
      <c r="E263" s="433"/>
      <c r="N263" s="2219"/>
    </row>
    <row r="264" spans="3:14" s="1844" customFormat="1" x14ac:dyDescent="0.2">
      <c r="C264" s="2219"/>
      <c r="E264" s="433"/>
      <c r="N264" s="2219"/>
    </row>
    <row r="265" spans="3:14" s="1844" customFormat="1" x14ac:dyDescent="0.2">
      <c r="C265" s="2219"/>
      <c r="E265" s="433"/>
      <c r="N265" s="2219"/>
    </row>
    <row r="266" spans="3:14" s="1844" customFormat="1" x14ac:dyDescent="0.2">
      <c r="C266" s="2219"/>
      <c r="E266" s="433"/>
      <c r="N266" s="2219"/>
    </row>
    <row r="267" spans="3:14" s="1844" customFormat="1" x14ac:dyDescent="0.2">
      <c r="C267" s="2219"/>
      <c r="E267" s="433"/>
      <c r="N267" s="2219"/>
    </row>
    <row r="268" spans="3:14" s="1844" customFormat="1" x14ac:dyDescent="0.2">
      <c r="C268" s="2219"/>
      <c r="E268" s="433"/>
      <c r="N268" s="2219"/>
    </row>
    <row r="269" spans="3:14" s="1844" customFormat="1" x14ac:dyDescent="0.2">
      <c r="C269" s="2219"/>
      <c r="E269" s="433"/>
      <c r="N269" s="2219"/>
    </row>
    <row r="270" spans="3:14" s="1844" customFormat="1" x14ac:dyDescent="0.2">
      <c r="C270" s="2219"/>
      <c r="E270" s="433"/>
      <c r="N270" s="2219"/>
    </row>
    <row r="271" spans="3:14" s="1844" customFormat="1" x14ac:dyDescent="0.2">
      <c r="C271" s="2219"/>
      <c r="E271" s="433"/>
      <c r="N271" s="2219"/>
    </row>
    <row r="272" spans="3:14" s="1844" customFormat="1" x14ac:dyDescent="0.2">
      <c r="C272" s="2219"/>
      <c r="E272" s="433"/>
      <c r="N272" s="2219"/>
    </row>
    <row r="273" spans="3:14" s="1844" customFormat="1" x14ac:dyDescent="0.2">
      <c r="C273" s="2219"/>
      <c r="E273" s="433"/>
      <c r="N273" s="2219"/>
    </row>
    <row r="274" spans="3:14" s="1844" customFormat="1" x14ac:dyDescent="0.2">
      <c r="C274" s="2219"/>
      <c r="E274" s="433"/>
      <c r="N274" s="2219"/>
    </row>
    <row r="275" spans="3:14" s="1844" customFormat="1" x14ac:dyDescent="0.2">
      <c r="C275" s="2219"/>
      <c r="E275" s="433"/>
      <c r="N275" s="2219"/>
    </row>
    <row r="276" spans="3:14" s="1844" customFormat="1" x14ac:dyDescent="0.2">
      <c r="C276" s="2219"/>
      <c r="E276" s="433"/>
      <c r="N276" s="2219"/>
    </row>
    <row r="277" spans="3:14" s="1844" customFormat="1" x14ac:dyDescent="0.2">
      <c r="C277" s="2219"/>
      <c r="E277" s="433"/>
      <c r="N277" s="2219"/>
    </row>
    <row r="278" spans="3:14" s="1844" customFormat="1" x14ac:dyDescent="0.2">
      <c r="C278" s="2219"/>
      <c r="E278" s="433"/>
      <c r="N278" s="2219"/>
    </row>
    <row r="279" spans="3:14" s="1844" customFormat="1" x14ac:dyDescent="0.2">
      <c r="C279" s="2219"/>
      <c r="E279" s="433"/>
      <c r="N279" s="2219"/>
    </row>
    <row r="280" spans="3:14" s="1844" customFormat="1" x14ac:dyDescent="0.2">
      <c r="C280" s="2219"/>
      <c r="E280" s="433"/>
      <c r="N280" s="2219"/>
    </row>
    <row r="281" spans="3:14" s="1844" customFormat="1" x14ac:dyDescent="0.2">
      <c r="C281" s="2219"/>
      <c r="E281" s="433"/>
      <c r="N281" s="2219"/>
    </row>
    <row r="282" spans="3:14" s="1844" customFormat="1" x14ac:dyDescent="0.2">
      <c r="C282" s="2219"/>
      <c r="E282" s="433"/>
      <c r="N282" s="2219"/>
    </row>
    <row r="283" spans="3:14" s="1844" customFormat="1" x14ac:dyDescent="0.2">
      <c r="C283" s="2219"/>
      <c r="E283" s="433"/>
      <c r="N283" s="2219"/>
    </row>
    <row r="284" spans="3:14" s="1844" customFormat="1" x14ac:dyDescent="0.2">
      <c r="C284" s="2219"/>
      <c r="E284" s="433"/>
      <c r="N284" s="2219"/>
    </row>
    <row r="285" spans="3:14" s="1844" customFormat="1" x14ac:dyDescent="0.2">
      <c r="C285" s="2219"/>
      <c r="E285" s="433"/>
      <c r="N285" s="2219"/>
    </row>
    <row r="286" spans="3:14" s="1844" customFormat="1" x14ac:dyDescent="0.2">
      <c r="C286" s="2219"/>
      <c r="E286" s="433"/>
      <c r="N286" s="2219"/>
    </row>
    <row r="287" spans="3:14" s="1844" customFormat="1" x14ac:dyDescent="0.2">
      <c r="C287" s="2219"/>
      <c r="E287" s="433"/>
      <c r="N287" s="2219"/>
    </row>
    <row r="288" spans="3:14" s="1844" customFormat="1" x14ac:dyDescent="0.2">
      <c r="C288" s="2219"/>
      <c r="E288" s="433"/>
      <c r="N288" s="2219"/>
    </row>
    <row r="289" spans="3:14" s="1844" customFormat="1" x14ac:dyDescent="0.2">
      <c r="C289" s="2219"/>
      <c r="E289" s="433"/>
      <c r="N289" s="2219"/>
    </row>
    <row r="290" spans="3:14" s="1844" customFormat="1" x14ac:dyDescent="0.2">
      <c r="C290" s="2219"/>
      <c r="E290" s="433"/>
      <c r="N290" s="2219"/>
    </row>
    <row r="291" spans="3:14" s="1844" customFormat="1" x14ac:dyDescent="0.2">
      <c r="C291" s="2219"/>
      <c r="E291" s="433"/>
      <c r="N291" s="2219"/>
    </row>
    <row r="292" spans="3:14" s="1844" customFormat="1" x14ac:dyDescent="0.2">
      <c r="C292" s="2219"/>
      <c r="E292" s="433"/>
      <c r="N292" s="2219"/>
    </row>
    <row r="293" spans="3:14" s="1844" customFormat="1" x14ac:dyDescent="0.2">
      <c r="C293" s="2219"/>
      <c r="E293" s="433"/>
      <c r="N293" s="2219"/>
    </row>
    <row r="294" spans="3:14" s="1844" customFormat="1" x14ac:dyDescent="0.2">
      <c r="C294" s="2219"/>
      <c r="E294" s="433"/>
      <c r="N294" s="2219"/>
    </row>
    <row r="295" spans="3:14" s="1844" customFormat="1" x14ac:dyDescent="0.2">
      <c r="C295" s="2219"/>
      <c r="E295" s="433"/>
      <c r="N295" s="2219"/>
    </row>
    <row r="296" spans="3:14" s="1844" customFormat="1" x14ac:dyDescent="0.2">
      <c r="C296" s="2219"/>
      <c r="E296" s="433"/>
      <c r="N296" s="2219"/>
    </row>
    <row r="297" spans="3:14" s="1844" customFormat="1" x14ac:dyDescent="0.2">
      <c r="C297" s="2219"/>
      <c r="E297" s="433"/>
      <c r="N297" s="2219"/>
    </row>
    <row r="298" spans="3:14" s="1844" customFormat="1" x14ac:dyDescent="0.2">
      <c r="C298" s="2219"/>
      <c r="E298" s="433"/>
      <c r="N298" s="2219"/>
    </row>
    <row r="299" spans="3:14" s="1844" customFormat="1" x14ac:dyDescent="0.2">
      <c r="C299" s="2219"/>
      <c r="E299" s="433"/>
      <c r="N299" s="2219"/>
    </row>
    <row r="300" spans="3:14" s="1844" customFormat="1" x14ac:dyDescent="0.2">
      <c r="C300" s="2219"/>
      <c r="E300" s="433"/>
      <c r="N300" s="2219"/>
    </row>
    <row r="301" spans="3:14" s="1844" customFormat="1" x14ac:dyDescent="0.2">
      <c r="C301" s="2219"/>
      <c r="E301" s="433"/>
      <c r="N301" s="2219"/>
    </row>
    <row r="302" spans="3:14" s="1844" customFormat="1" x14ac:dyDescent="0.2">
      <c r="C302" s="2219"/>
      <c r="E302" s="433"/>
      <c r="N302" s="2219"/>
    </row>
    <row r="303" spans="3:14" s="1844" customFormat="1" x14ac:dyDescent="0.2">
      <c r="C303" s="2219"/>
      <c r="E303" s="433"/>
      <c r="N303" s="2219"/>
    </row>
    <row r="304" spans="3:14" s="1844" customFormat="1" x14ac:dyDescent="0.2">
      <c r="C304" s="2219"/>
      <c r="E304" s="433"/>
      <c r="N304" s="2219"/>
    </row>
    <row r="305" spans="3:14" s="1844" customFormat="1" x14ac:dyDescent="0.2">
      <c r="C305" s="2219"/>
      <c r="E305" s="433"/>
      <c r="N305" s="2219"/>
    </row>
    <row r="306" spans="3:14" s="1844" customFormat="1" x14ac:dyDescent="0.2">
      <c r="C306" s="2219"/>
      <c r="E306" s="433"/>
      <c r="N306" s="2219"/>
    </row>
    <row r="307" spans="3:14" s="1844" customFormat="1" x14ac:dyDescent="0.2">
      <c r="C307" s="2219"/>
      <c r="E307" s="433"/>
      <c r="N307" s="2219"/>
    </row>
    <row r="308" spans="3:14" s="1844" customFormat="1" x14ac:dyDescent="0.2">
      <c r="C308" s="2219"/>
      <c r="E308" s="433"/>
      <c r="N308" s="2219"/>
    </row>
    <row r="309" spans="3:14" s="1844" customFormat="1" x14ac:dyDescent="0.2">
      <c r="C309" s="2219"/>
      <c r="E309" s="433"/>
      <c r="N309" s="2219"/>
    </row>
    <row r="310" spans="3:14" s="1844" customFormat="1" x14ac:dyDescent="0.2">
      <c r="C310" s="2219"/>
      <c r="E310" s="433"/>
      <c r="N310" s="2219"/>
    </row>
    <row r="311" spans="3:14" s="1844" customFormat="1" x14ac:dyDescent="0.2">
      <c r="C311" s="2219"/>
      <c r="E311" s="433"/>
      <c r="N311" s="2219"/>
    </row>
    <row r="312" spans="3:14" s="1844" customFormat="1" x14ac:dyDescent="0.2">
      <c r="C312" s="2219"/>
      <c r="E312" s="433"/>
      <c r="N312" s="2219"/>
    </row>
    <row r="313" spans="3:14" s="1844" customFormat="1" x14ac:dyDescent="0.2">
      <c r="C313" s="2219"/>
      <c r="E313" s="433"/>
      <c r="N313" s="2219"/>
    </row>
    <row r="314" spans="3:14" s="1844" customFormat="1" x14ac:dyDescent="0.2">
      <c r="C314" s="2219"/>
      <c r="E314" s="433"/>
      <c r="N314" s="2219"/>
    </row>
    <row r="315" spans="3:14" s="1844" customFormat="1" x14ac:dyDescent="0.2">
      <c r="C315" s="2219"/>
      <c r="E315" s="433"/>
      <c r="N315" s="2219"/>
    </row>
    <row r="316" spans="3:14" s="1844" customFormat="1" x14ac:dyDescent="0.2">
      <c r="C316" s="2219"/>
      <c r="E316" s="433"/>
      <c r="N316" s="2219"/>
    </row>
    <row r="317" spans="3:14" s="1844" customFormat="1" x14ac:dyDescent="0.2">
      <c r="C317" s="2219"/>
      <c r="E317" s="433"/>
      <c r="N317" s="2219"/>
    </row>
    <row r="318" spans="3:14" s="1844" customFormat="1" x14ac:dyDescent="0.2">
      <c r="C318" s="2219"/>
      <c r="E318" s="433"/>
      <c r="N318" s="2219"/>
    </row>
    <row r="319" spans="3:14" s="1844" customFormat="1" x14ac:dyDescent="0.2">
      <c r="C319" s="2219"/>
      <c r="E319" s="433"/>
      <c r="N319" s="2219"/>
    </row>
    <row r="320" spans="3:14" s="1844" customFormat="1" x14ac:dyDescent="0.2">
      <c r="C320" s="2219"/>
      <c r="E320" s="433"/>
      <c r="N320" s="2219"/>
    </row>
    <row r="321" spans="3:14" s="1844" customFormat="1" x14ac:dyDescent="0.2">
      <c r="C321" s="2219"/>
      <c r="E321" s="433"/>
      <c r="N321" s="2219"/>
    </row>
    <row r="322" spans="3:14" s="1844" customFormat="1" x14ac:dyDescent="0.2">
      <c r="C322" s="2219"/>
      <c r="E322" s="433"/>
      <c r="N322" s="2219"/>
    </row>
    <row r="323" spans="3:14" s="1844" customFormat="1" x14ac:dyDescent="0.2">
      <c r="C323" s="2219"/>
      <c r="E323" s="433"/>
      <c r="N323" s="2219"/>
    </row>
    <row r="324" spans="3:14" s="1844" customFormat="1" x14ac:dyDescent="0.2">
      <c r="C324" s="2219"/>
      <c r="E324" s="433"/>
      <c r="N324" s="2219"/>
    </row>
    <row r="325" spans="3:14" s="1844" customFormat="1" x14ac:dyDescent="0.2">
      <c r="C325" s="2219"/>
      <c r="E325" s="433"/>
      <c r="N325" s="2219"/>
    </row>
    <row r="326" spans="3:14" s="1844" customFormat="1" x14ac:dyDescent="0.2">
      <c r="C326" s="2219"/>
      <c r="E326" s="433"/>
      <c r="N326" s="2219"/>
    </row>
    <row r="327" spans="3:14" s="1844" customFormat="1" x14ac:dyDescent="0.2">
      <c r="C327" s="2219"/>
      <c r="E327" s="433"/>
      <c r="N327" s="2219"/>
    </row>
    <row r="328" spans="3:14" s="1844" customFormat="1" x14ac:dyDescent="0.2">
      <c r="C328" s="2219"/>
      <c r="E328" s="433"/>
      <c r="N328" s="2219"/>
    </row>
    <row r="329" spans="3:14" s="1844" customFormat="1" x14ac:dyDescent="0.2">
      <c r="C329" s="2219"/>
      <c r="E329" s="433"/>
      <c r="N329" s="2219"/>
    </row>
    <row r="330" spans="3:14" s="1844" customFormat="1" x14ac:dyDescent="0.2">
      <c r="C330" s="2219"/>
      <c r="E330" s="433"/>
      <c r="N330" s="2219"/>
    </row>
    <row r="331" spans="3:14" s="1844" customFormat="1" x14ac:dyDescent="0.2">
      <c r="C331" s="2219"/>
      <c r="E331" s="433"/>
      <c r="N331" s="2219"/>
    </row>
    <row r="332" spans="3:14" s="1844" customFormat="1" x14ac:dyDescent="0.2">
      <c r="C332" s="2219"/>
      <c r="E332" s="433"/>
      <c r="N332" s="2219"/>
    </row>
    <row r="333" spans="3:14" s="1844" customFormat="1" x14ac:dyDescent="0.2">
      <c r="C333" s="2219"/>
      <c r="E333" s="433"/>
      <c r="N333" s="2219"/>
    </row>
    <row r="334" spans="3:14" s="1844" customFormat="1" x14ac:dyDescent="0.2">
      <c r="C334" s="2219"/>
      <c r="E334" s="433"/>
      <c r="N334" s="2219"/>
    </row>
    <row r="335" spans="3:14" s="1844" customFormat="1" x14ac:dyDescent="0.2">
      <c r="C335" s="2219"/>
      <c r="E335" s="433"/>
      <c r="N335" s="2219"/>
    </row>
    <row r="336" spans="3:14" s="1844" customFormat="1" x14ac:dyDescent="0.2">
      <c r="C336" s="2219"/>
      <c r="E336" s="433"/>
      <c r="N336" s="2219"/>
    </row>
    <row r="337" spans="1:14" s="1844" customFormat="1" x14ac:dyDescent="0.2">
      <c r="C337" s="2219"/>
      <c r="E337" s="433"/>
      <c r="N337" s="2219"/>
    </row>
    <row r="338" spans="1:14" s="1844" customFormat="1" x14ac:dyDescent="0.2">
      <c r="A338" s="2220"/>
      <c r="C338" s="2219"/>
      <c r="N338" s="2221"/>
    </row>
    <row r="339" spans="1:14" s="1844" customFormat="1" x14ac:dyDescent="0.2">
      <c r="A339" s="2220"/>
      <c r="C339" s="2219"/>
      <c r="N339" s="2221"/>
    </row>
    <row r="340" spans="1:14" s="1844" customFormat="1" x14ac:dyDescent="0.2">
      <c r="A340" s="2220"/>
      <c r="C340" s="2219"/>
      <c r="N340" s="2221"/>
    </row>
    <row r="341" spans="1:14" s="1844" customFormat="1" x14ac:dyDescent="0.2">
      <c r="A341" s="2220"/>
      <c r="C341" s="2219"/>
      <c r="N341" s="2221"/>
    </row>
    <row r="342" spans="1:14" s="1844" customFormat="1" x14ac:dyDescent="0.2">
      <c r="A342" s="2220"/>
      <c r="C342" s="2219"/>
      <c r="N342" s="2221"/>
    </row>
    <row r="343" spans="1:14" s="1844" customFormat="1" x14ac:dyDescent="0.2">
      <c r="A343" s="2220"/>
      <c r="C343" s="2219"/>
      <c r="N343" s="2221"/>
    </row>
    <row r="344" spans="1:14" s="1844" customFormat="1" x14ac:dyDescent="0.2">
      <c r="A344" s="2220"/>
      <c r="C344" s="2219"/>
      <c r="N344" s="2221"/>
    </row>
    <row r="345" spans="1:14" s="1844" customFormat="1" x14ac:dyDescent="0.2">
      <c r="A345" s="2220"/>
      <c r="C345" s="2219"/>
      <c r="N345" s="2221"/>
    </row>
    <row r="346" spans="1:14" s="1844" customFormat="1" x14ac:dyDescent="0.2">
      <c r="A346" s="2220"/>
      <c r="C346" s="2219"/>
      <c r="N346" s="2221"/>
    </row>
    <row r="347" spans="1:14" s="1844" customFormat="1" x14ac:dyDescent="0.2">
      <c r="A347" s="2220"/>
      <c r="C347" s="2219"/>
      <c r="N347" s="2221"/>
    </row>
  </sheetData>
  <mergeCells count="79">
    <mergeCell ref="N5:N8"/>
    <mergeCell ref="N13:N23"/>
    <mergeCell ref="A24:A34"/>
    <mergeCell ref="N24:N34"/>
    <mergeCell ref="C26:C29"/>
    <mergeCell ref="C31:C34"/>
    <mergeCell ref="H7:H8"/>
    <mergeCell ref="A13:A23"/>
    <mergeCell ref="C14:C18"/>
    <mergeCell ref="C20:C23"/>
    <mergeCell ref="M7:M8"/>
    <mergeCell ref="J6:J8"/>
    <mergeCell ref="A9:B9"/>
    <mergeCell ref="I5:L5"/>
    <mergeCell ref="K6:L6"/>
    <mergeCell ref="N82:N92"/>
    <mergeCell ref="C84:C87"/>
    <mergeCell ref="C89:C92"/>
    <mergeCell ref="A68:A74"/>
    <mergeCell ref="N68:N74"/>
    <mergeCell ref="C70:C71"/>
    <mergeCell ref="C73:C74"/>
    <mergeCell ref="A75:A81"/>
    <mergeCell ref="N75:N81"/>
    <mergeCell ref="C77:C78"/>
    <mergeCell ref="C80:C81"/>
    <mergeCell ref="A82:A92"/>
    <mergeCell ref="A93:A101"/>
    <mergeCell ref="N93:N101"/>
    <mergeCell ref="C95:C98"/>
    <mergeCell ref="C100:C101"/>
    <mergeCell ref="A117:A120"/>
    <mergeCell ref="N117:N120"/>
    <mergeCell ref="C119:C120"/>
    <mergeCell ref="A113:A116"/>
    <mergeCell ref="N113:N116"/>
    <mergeCell ref="C115:C116"/>
    <mergeCell ref="A102:N105"/>
    <mergeCell ref="A121:A124"/>
    <mergeCell ref="N121:N124"/>
    <mergeCell ref="C123:C124"/>
    <mergeCell ref="A4:N4"/>
    <mergeCell ref="A5:A8"/>
    <mergeCell ref="B5:B8"/>
    <mergeCell ref="C5:C8"/>
    <mergeCell ref="D5:H5"/>
    <mergeCell ref="D6:D8"/>
    <mergeCell ref="E6:E8"/>
    <mergeCell ref="F6:F8"/>
    <mergeCell ref="I6:I8"/>
    <mergeCell ref="K7:K8"/>
    <mergeCell ref="L7:L8"/>
    <mergeCell ref="G6:H6"/>
    <mergeCell ref="G7:G8"/>
    <mergeCell ref="A57:A67"/>
    <mergeCell ref="N57:N67"/>
    <mergeCell ref="C59:C62"/>
    <mergeCell ref="C64:C67"/>
    <mergeCell ref="A35:A45"/>
    <mergeCell ref="N35:N45"/>
    <mergeCell ref="C37:C40"/>
    <mergeCell ref="C42:C45"/>
    <mergeCell ref="C48:C51"/>
    <mergeCell ref="A133:A136"/>
    <mergeCell ref="N133:N136"/>
    <mergeCell ref="C135:C136"/>
    <mergeCell ref="K1:L1"/>
    <mergeCell ref="A129:A132"/>
    <mergeCell ref="N129:N132"/>
    <mergeCell ref="C131:C132"/>
    <mergeCell ref="A110:A112"/>
    <mergeCell ref="N110:N112"/>
    <mergeCell ref="C111:C112"/>
    <mergeCell ref="A125:A128"/>
    <mergeCell ref="N125:N128"/>
    <mergeCell ref="C127:C128"/>
    <mergeCell ref="A46:A56"/>
    <mergeCell ref="N46:N56"/>
    <mergeCell ref="C53:C56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57" orientation="portrait" useFirstPageNumber="1" r:id="rId1"/>
  <headerFooter alignWithMargins="0">
    <oddHeader>&amp;C&amp;"Arial,Kursywa"Informacja o wykonaniu budżetu Województwa Zachodniopomorskiego za I kwartał 2014 roku
______________________________________________________________________________________________________________________</oddHeader>
    <oddFooter>&amp;C&amp;8&amp;P</oddFooter>
  </headerFooter>
  <rowBreaks count="1" manualBreakCount="1">
    <brk id="101" max="1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BX92"/>
  <sheetViews>
    <sheetView showGridLines="0" view="pageBreakPreview" zoomScaleNormal="100" zoomScaleSheetLayoutView="100" workbookViewId="0"/>
  </sheetViews>
  <sheetFormatPr defaultRowHeight="11.25" x14ac:dyDescent="0.2"/>
  <cols>
    <col min="1" max="1" width="4.140625" style="2419" customWidth="1"/>
    <col min="2" max="2" width="46.5703125" style="611" customWidth="1"/>
    <col min="3" max="3" width="10.7109375" style="611" customWidth="1"/>
    <col min="4" max="4" width="13.42578125" style="611" customWidth="1"/>
    <col min="5" max="6" width="12.5703125" style="611" hidden="1" customWidth="1"/>
    <col min="7" max="7" width="12.7109375" style="611" customWidth="1"/>
    <col min="8" max="8" width="13.7109375" style="611" customWidth="1"/>
    <col min="9" max="9" width="12.140625" style="1747" customWidth="1"/>
    <col min="10" max="10" width="11" style="1747" customWidth="1"/>
    <col min="11" max="11" width="12.28515625" style="1747" customWidth="1"/>
    <col min="12" max="12" width="11.28515625" style="1747" customWidth="1"/>
    <col min="13" max="13" width="14" style="1747" hidden="1" customWidth="1"/>
    <col min="14" max="14" width="12.5703125" style="2420" customWidth="1"/>
    <col min="15" max="15" width="14.5703125" style="611" customWidth="1"/>
    <col min="16" max="16" width="13" style="611" customWidth="1"/>
    <col min="17" max="17" width="9.85546875" style="611" customWidth="1"/>
    <col min="18" max="18" width="12.42578125" style="611" customWidth="1"/>
    <col min="19" max="19" width="18.28515625" style="611" customWidth="1"/>
    <col min="20" max="20" width="13.5703125" style="611" customWidth="1"/>
    <col min="21" max="33" width="18.28515625" style="611" customWidth="1"/>
    <col min="34" max="75" width="3.28515625" style="611" customWidth="1"/>
    <col min="76" max="16384" width="9.140625" style="611"/>
  </cols>
  <sheetData>
    <row r="1" spans="1:76" s="2229" customFormat="1" ht="25.5" customHeight="1" x14ac:dyDescent="0.3">
      <c r="A1" s="2222"/>
      <c r="B1" s="2223"/>
      <c r="C1" s="2224"/>
      <c r="D1" s="2225"/>
      <c r="E1" s="2226"/>
      <c r="F1" s="2225"/>
      <c r="G1" s="2225"/>
      <c r="H1" s="2225"/>
      <c r="I1" s="28"/>
      <c r="J1" s="2225"/>
      <c r="K1" s="3066" t="s">
        <v>342</v>
      </c>
      <c r="L1" s="3066"/>
      <c r="M1" s="2227"/>
      <c r="N1" s="2227"/>
      <c r="O1" s="2228"/>
      <c r="P1" s="2228"/>
      <c r="Q1" s="2228"/>
      <c r="R1" s="2228"/>
      <c r="S1" s="2228"/>
      <c r="T1" s="2228"/>
      <c r="U1" s="2228"/>
      <c r="V1" s="2228"/>
      <c r="W1" s="2228"/>
      <c r="X1" s="2228"/>
      <c r="Y1" s="2228"/>
      <c r="Z1" s="2228"/>
      <c r="AA1" s="2228"/>
      <c r="AB1" s="2228"/>
      <c r="AC1" s="2228"/>
      <c r="AD1" s="2228"/>
      <c r="AE1" s="2228"/>
      <c r="AF1" s="2228"/>
      <c r="AG1" s="2228"/>
      <c r="AH1" s="2228"/>
      <c r="AI1" s="2228"/>
      <c r="AJ1" s="2228"/>
      <c r="AK1" s="2228"/>
      <c r="AL1" s="2228"/>
      <c r="AM1" s="2228"/>
      <c r="AN1" s="2228"/>
      <c r="AO1" s="2228"/>
      <c r="AP1" s="2228"/>
      <c r="AQ1" s="2228"/>
      <c r="AR1" s="2228"/>
      <c r="AS1" s="2228"/>
      <c r="AT1" s="2228"/>
      <c r="AU1" s="2228"/>
      <c r="AV1" s="2228"/>
      <c r="AW1" s="2228"/>
      <c r="AX1" s="2228"/>
      <c r="AY1" s="2228"/>
      <c r="AZ1" s="2228"/>
      <c r="BA1" s="2228"/>
      <c r="BB1" s="2228"/>
      <c r="BC1" s="2228"/>
      <c r="BD1" s="2228"/>
      <c r="BE1" s="2228"/>
      <c r="BF1" s="2228"/>
      <c r="BG1" s="2228"/>
      <c r="BH1" s="2228"/>
      <c r="BI1" s="2228"/>
      <c r="BJ1" s="2228"/>
      <c r="BK1" s="2228"/>
      <c r="BL1" s="2228"/>
      <c r="BM1" s="2228"/>
      <c r="BN1" s="2228"/>
      <c r="BO1" s="2228"/>
      <c r="BP1" s="2228"/>
      <c r="BQ1" s="2228"/>
      <c r="BR1" s="2228"/>
      <c r="BS1" s="2228"/>
      <c r="BT1" s="2228"/>
      <c r="BU1" s="2228"/>
      <c r="BV1" s="2228"/>
      <c r="BW1" s="2228"/>
      <c r="BX1" s="610"/>
    </row>
    <row r="2" spans="1:76" s="2229" customFormat="1" ht="10.5" customHeight="1" thickBot="1" x14ac:dyDescent="0.3">
      <c r="A2" s="2230"/>
      <c r="B2" s="2223"/>
      <c r="C2" s="2224"/>
      <c r="D2" s="2225"/>
      <c r="E2" s="2226"/>
      <c r="F2" s="2225"/>
      <c r="G2" s="2225"/>
      <c r="H2" s="2225"/>
      <c r="I2" s="1226"/>
      <c r="J2" s="2225"/>
      <c r="K2" s="2225"/>
      <c r="L2" s="2225"/>
      <c r="M2" s="2225"/>
      <c r="N2" s="1227"/>
      <c r="O2" s="2228"/>
      <c r="P2" s="2228"/>
      <c r="Q2" s="2228"/>
      <c r="R2" s="2228"/>
      <c r="S2" s="2228"/>
      <c r="T2" s="2228"/>
      <c r="U2" s="2228"/>
      <c r="V2" s="2228"/>
      <c r="W2" s="2228"/>
      <c r="X2" s="2228"/>
      <c r="Y2" s="2228"/>
      <c r="Z2" s="2228"/>
      <c r="AA2" s="2228"/>
      <c r="AB2" s="2228"/>
      <c r="AC2" s="2228"/>
      <c r="AD2" s="2228"/>
      <c r="AE2" s="2228"/>
      <c r="AF2" s="2228"/>
      <c r="AG2" s="2228"/>
      <c r="AH2" s="2228"/>
      <c r="AI2" s="2228"/>
      <c r="AJ2" s="2228"/>
      <c r="AK2" s="2228"/>
      <c r="AL2" s="2228"/>
      <c r="AM2" s="2228"/>
      <c r="AN2" s="2228"/>
      <c r="AO2" s="2228"/>
      <c r="AP2" s="2228"/>
      <c r="AQ2" s="2228"/>
      <c r="AR2" s="2228"/>
      <c r="AS2" s="2228"/>
      <c r="AT2" s="2228"/>
      <c r="AU2" s="2228"/>
      <c r="AV2" s="2228"/>
      <c r="AW2" s="2228"/>
      <c r="AX2" s="2228"/>
      <c r="AY2" s="2228"/>
      <c r="AZ2" s="2228"/>
      <c r="BA2" s="2228"/>
      <c r="BB2" s="2228"/>
      <c r="BC2" s="2228"/>
      <c r="BD2" s="2228"/>
      <c r="BE2" s="2228"/>
      <c r="BF2" s="2228"/>
      <c r="BG2" s="2228"/>
      <c r="BH2" s="2228"/>
      <c r="BI2" s="2228"/>
      <c r="BJ2" s="2228"/>
      <c r="BK2" s="2228"/>
      <c r="BL2" s="2228"/>
      <c r="BM2" s="2228"/>
      <c r="BN2" s="2228"/>
      <c r="BO2" s="2228"/>
      <c r="BP2" s="2228"/>
      <c r="BQ2" s="2228"/>
      <c r="BR2" s="2228"/>
      <c r="BS2" s="2228"/>
      <c r="BT2" s="2228"/>
      <c r="BU2" s="2228"/>
      <c r="BV2" s="2228"/>
      <c r="BW2" s="2228"/>
      <c r="BX2" s="610"/>
    </row>
    <row r="3" spans="1:76" s="2237" customFormat="1" ht="40.5" customHeight="1" thickBot="1" x14ac:dyDescent="0.25">
      <c r="A3" s="2231" t="s">
        <v>203</v>
      </c>
      <c r="B3" s="2232"/>
      <c r="C3" s="2233"/>
      <c r="D3" s="2232"/>
      <c r="E3" s="2234"/>
      <c r="F3" s="2232"/>
      <c r="G3" s="2232"/>
      <c r="H3" s="2232"/>
      <c r="I3" s="2232"/>
      <c r="J3" s="2232"/>
      <c r="K3" s="2232"/>
      <c r="L3" s="2232"/>
      <c r="M3" s="2232"/>
      <c r="N3" s="2235"/>
      <c r="O3" s="2236"/>
      <c r="P3" s="2236"/>
      <c r="Q3" s="2236"/>
      <c r="R3" s="2236"/>
      <c r="S3" s="2236"/>
      <c r="T3" s="2236"/>
      <c r="U3" s="2236"/>
      <c r="V3" s="2236"/>
      <c r="W3" s="2236"/>
      <c r="X3" s="2236"/>
      <c r="Y3" s="2236"/>
      <c r="Z3" s="2236"/>
      <c r="AA3" s="2236"/>
      <c r="AB3" s="2236"/>
      <c r="AC3" s="2236"/>
      <c r="AD3" s="2236"/>
      <c r="AE3" s="2236"/>
      <c r="AF3" s="2236"/>
      <c r="AG3" s="2236"/>
      <c r="AH3" s="2236"/>
      <c r="AI3" s="2236"/>
      <c r="AJ3" s="2236"/>
      <c r="AK3" s="2236"/>
      <c r="AL3" s="2236"/>
      <c r="AM3" s="2236"/>
      <c r="AN3" s="2236"/>
      <c r="AO3" s="2236"/>
      <c r="AP3" s="2236"/>
      <c r="AQ3" s="2236"/>
      <c r="AR3" s="2236"/>
      <c r="AS3" s="2236"/>
      <c r="AT3" s="2236"/>
      <c r="AU3" s="2236"/>
      <c r="AV3" s="2236"/>
      <c r="AW3" s="2236"/>
      <c r="AX3" s="2236"/>
      <c r="AY3" s="2236"/>
      <c r="AZ3" s="2236"/>
      <c r="BA3" s="2236"/>
      <c r="BB3" s="2236"/>
      <c r="BC3" s="2236"/>
      <c r="BD3" s="2236"/>
      <c r="BE3" s="2236"/>
      <c r="BF3" s="2236"/>
      <c r="BG3" s="2236"/>
      <c r="BH3" s="2236"/>
      <c r="BI3" s="2236"/>
      <c r="BJ3" s="2236"/>
      <c r="BK3" s="2236"/>
      <c r="BL3" s="2236"/>
      <c r="BM3" s="2236"/>
      <c r="BN3" s="2236"/>
      <c r="BO3" s="2236"/>
      <c r="BP3" s="2236"/>
      <c r="BQ3" s="2236"/>
      <c r="BR3" s="2236"/>
      <c r="BS3" s="2236"/>
      <c r="BT3" s="2236"/>
      <c r="BU3" s="2236"/>
      <c r="BV3" s="2236"/>
      <c r="BW3" s="2236"/>
      <c r="BX3" s="620"/>
    </row>
    <row r="4" spans="1:76" s="252" customFormat="1" ht="44.25" customHeight="1" x14ac:dyDescent="0.2">
      <c r="A4" s="3587" t="s">
        <v>24</v>
      </c>
      <c r="B4" s="3590" t="s">
        <v>25</v>
      </c>
      <c r="C4" s="3593" t="s">
        <v>26</v>
      </c>
      <c r="D4" s="3026" t="s">
        <v>356</v>
      </c>
      <c r="E4" s="3027"/>
      <c r="F4" s="3027"/>
      <c r="G4" s="3027"/>
      <c r="H4" s="3028"/>
      <c r="I4" s="3026" t="s">
        <v>351</v>
      </c>
      <c r="J4" s="3027"/>
      <c r="K4" s="3027"/>
      <c r="L4" s="3262"/>
      <c r="M4" s="591"/>
      <c r="N4" s="3346" t="s">
        <v>27</v>
      </c>
    </row>
    <row r="5" spans="1:76" s="610" customFormat="1" ht="38.25" customHeight="1" x14ac:dyDescent="0.2">
      <c r="A5" s="3588"/>
      <c r="B5" s="3591"/>
      <c r="C5" s="3594"/>
      <c r="D5" s="3031" t="s">
        <v>0</v>
      </c>
      <c r="E5" s="3075" t="s">
        <v>360</v>
      </c>
      <c r="F5" s="3075" t="s">
        <v>361</v>
      </c>
      <c r="G5" s="3029" t="s">
        <v>257</v>
      </c>
      <c r="H5" s="3030"/>
      <c r="I5" s="3235" t="s">
        <v>350</v>
      </c>
      <c r="J5" s="3259" t="s">
        <v>300</v>
      </c>
      <c r="K5" s="3069" t="s">
        <v>357</v>
      </c>
      <c r="L5" s="3225"/>
      <c r="M5" s="2238"/>
      <c r="N5" s="3347"/>
    </row>
    <row r="6" spans="1:76" s="610" customFormat="1" ht="41.25" customHeight="1" x14ac:dyDescent="0.2">
      <c r="A6" s="3588"/>
      <c r="B6" s="3591"/>
      <c r="C6" s="3594"/>
      <c r="D6" s="3032"/>
      <c r="E6" s="3076"/>
      <c r="F6" s="3076"/>
      <c r="G6" s="3059" t="s">
        <v>349</v>
      </c>
      <c r="H6" s="3061" t="s">
        <v>355</v>
      </c>
      <c r="I6" s="3236"/>
      <c r="J6" s="3260"/>
      <c r="K6" s="3078" t="s">
        <v>359</v>
      </c>
      <c r="L6" s="3239" t="s">
        <v>301</v>
      </c>
      <c r="M6" s="3599" t="s">
        <v>334</v>
      </c>
      <c r="N6" s="3347"/>
    </row>
    <row r="7" spans="1:76" s="610" customFormat="1" ht="72" customHeight="1" thickBot="1" x14ac:dyDescent="0.25">
      <c r="A7" s="3589"/>
      <c r="B7" s="3592"/>
      <c r="C7" s="3595"/>
      <c r="D7" s="3243"/>
      <c r="E7" s="3345"/>
      <c r="F7" s="3345"/>
      <c r="G7" s="3274"/>
      <c r="H7" s="3275"/>
      <c r="I7" s="3237"/>
      <c r="J7" s="3261"/>
      <c r="K7" s="3238"/>
      <c r="L7" s="3240"/>
      <c r="M7" s="3600"/>
      <c r="N7" s="3348"/>
    </row>
    <row r="8" spans="1:76" s="2241" customFormat="1" ht="14.25" customHeight="1" thickBot="1" x14ac:dyDescent="0.25">
      <c r="A8" s="3597">
        <v>1</v>
      </c>
      <c r="B8" s="3598"/>
      <c r="C8" s="2239">
        <v>2</v>
      </c>
      <c r="D8" s="1754">
        <v>3</v>
      </c>
      <c r="E8" s="1755"/>
      <c r="F8" s="1755"/>
      <c r="G8" s="1755">
        <v>4</v>
      </c>
      <c r="H8" s="1756">
        <v>5</v>
      </c>
      <c r="I8" s="1754">
        <v>6</v>
      </c>
      <c r="J8" s="1988">
        <v>7</v>
      </c>
      <c r="K8" s="1988">
        <v>8</v>
      </c>
      <c r="L8" s="1989">
        <v>9</v>
      </c>
      <c r="M8" s="1988">
        <v>10</v>
      </c>
      <c r="N8" s="1758">
        <v>10</v>
      </c>
      <c r="O8" s="2240"/>
      <c r="P8" s="2240"/>
      <c r="Q8" s="2240"/>
      <c r="R8" s="2240"/>
      <c r="S8" s="2240"/>
      <c r="T8" s="2240"/>
      <c r="U8" s="2240"/>
      <c r="V8" s="2240"/>
      <c r="W8" s="2240"/>
      <c r="X8" s="2240"/>
      <c r="Y8" s="2240"/>
      <c r="Z8" s="2240"/>
      <c r="AA8" s="2240"/>
      <c r="AB8" s="2240"/>
      <c r="AC8" s="2240"/>
      <c r="AD8" s="2240"/>
      <c r="AE8" s="2240"/>
      <c r="AF8" s="2240"/>
      <c r="AG8" s="2240"/>
      <c r="AH8" s="2240"/>
      <c r="AI8" s="2240"/>
      <c r="AJ8" s="2240"/>
      <c r="AK8" s="2240"/>
      <c r="AL8" s="2240"/>
      <c r="AM8" s="2240"/>
      <c r="AN8" s="2240"/>
      <c r="AO8" s="2240"/>
      <c r="AP8" s="2240"/>
      <c r="AQ8" s="2240"/>
      <c r="AR8" s="2240"/>
      <c r="AS8" s="2240"/>
      <c r="AT8" s="2240"/>
      <c r="AU8" s="2240"/>
      <c r="AV8" s="2240"/>
      <c r="AW8" s="2240"/>
      <c r="AX8" s="2240"/>
      <c r="AY8" s="2240"/>
      <c r="AZ8" s="2240"/>
      <c r="BA8" s="2240"/>
      <c r="BB8" s="2240"/>
      <c r="BC8" s="2240"/>
      <c r="BD8" s="2240"/>
      <c r="BE8" s="2240"/>
      <c r="BF8" s="2240"/>
      <c r="BG8" s="2240"/>
      <c r="BH8" s="2240"/>
      <c r="BI8" s="2240"/>
      <c r="BJ8" s="2240"/>
      <c r="BK8" s="2240"/>
      <c r="BL8" s="2240"/>
      <c r="BM8" s="2240"/>
      <c r="BN8" s="2240"/>
      <c r="BO8" s="2240"/>
      <c r="BP8" s="2240"/>
      <c r="BQ8" s="2240"/>
      <c r="BR8" s="2240"/>
      <c r="BS8" s="2240"/>
      <c r="BT8" s="2240"/>
      <c r="BU8" s="2240"/>
      <c r="BV8" s="2240"/>
      <c r="BW8" s="2240"/>
      <c r="BX8" s="2240"/>
    </row>
    <row r="9" spans="1:76" ht="19.5" customHeight="1" thickBot="1" x14ac:dyDescent="0.25">
      <c r="A9" s="2242"/>
      <c r="B9" s="2243" t="s">
        <v>162</v>
      </c>
      <c r="C9" s="2244"/>
      <c r="D9" s="2245">
        <f>D10+D11</f>
        <v>52503709</v>
      </c>
      <c r="E9" s="2246">
        <f t="shared" ref="E9:H9" si="0">E10+E11</f>
        <v>10275217</v>
      </c>
      <c r="F9" s="2246">
        <f t="shared" si="0"/>
        <v>3742389</v>
      </c>
      <c r="G9" s="2246">
        <f t="shared" si="0"/>
        <v>38486103</v>
      </c>
      <c r="H9" s="2247">
        <f t="shared" si="0"/>
        <v>0</v>
      </c>
      <c r="I9" s="2248">
        <f>I10+I11</f>
        <v>15412618</v>
      </c>
      <c r="J9" s="2249">
        <f>I9/D9*100</f>
        <v>29.355293737438625</v>
      </c>
      <c r="K9" s="2246">
        <f>K10+K11</f>
        <v>1395012</v>
      </c>
      <c r="L9" s="2249">
        <f>K9/G9*100</f>
        <v>3.6247161735237259</v>
      </c>
      <c r="M9" s="2246">
        <f t="shared" ref="M9:M22" si="1">+K9-G9</f>
        <v>-37091091</v>
      </c>
      <c r="N9" s="2250"/>
      <c r="O9" s="1983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10"/>
      <c r="AE9" s="610"/>
      <c r="AF9" s="610"/>
      <c r="AG9" s="610"/>
      <c r="AH9" s="610"/>
      <c r="AI9" s="610"/>
      <c r="AJ9" s="610"/>
      <c r="AK9" s="610"/>
      <c r="AL9" s="610"/>
      <c r="AM9" s="610"/>
      <c r="AN9" s="610"/>
      <c r="AO9" s="610"/>
      <c r="AP9" s="610"/>
      <c r="AQ9" s="610"/>
      <c r="AR9" s="610"/>
      <c r="AS9" s="610"/>
      <c r="AT9" s="610"/>
      <c r="AU9" s="610"/>
      <c r="AV9" s="610"/>
      <c r="AW9" s="610"/>
      <c r="AX9" s="610"/>
      <c r="AY9" s="610"/>
      <c r="AZ9" s="610"/>
      <c r="BA9" s="610"/>
      <c r="BB9" s="610"/>
      <c r="BC9" s="610"/>
      <c r="BD9" s="610"/>
      <c r="BE9" s="610"/>
      <c r="BF9" s="610"/>
      <c r="BG9" s="610"/>
      <c r="BH9" s="610"/>
      <c r="BI9" s="610"/>
      <c r="BJ9" s="610"/>
      <c r="BK9" s="610"/>
      <c r="BL9" s="610"/>
      <c r="BM9" s="610"/>
      <c r="BN9" s="610"/>
    </row>
    <row r="10" spans="1:76" ht="14.25" customHeight="1" x14ac:dyDescent="0.2">
      <c r="A10" s="622"/>
      <c r="B10" s="623" t="s">
        <v>163</v>
      </c>
      <c r="C10" s="2251"/>
      <c r="D10" s="2252">
        <v>0</v>
      </c>
      <c r="E10" s="2253">
        <v>0</v>
      </c>
      <c r="F10" s="2254">
        <v>0</v>
      </c>
      <c r="G10" s="2254">
        <v>0</v>
      </c>
      <c r="H10" s="2255">
        <v>0</v>
      </c>
      <c r="I10" s="2256">
        <v>0</v>
      </c>
      <c r="J10" s="2257">
        <v>0</v>
      </c>
      <c r="K10" s="2258">
        <v>0</v>
      </c>
      <c r="L10" s="2257">
        <v>0</v>
      </c>
      <c r="M10" s="2254">
        <f t="shared" si="1"/>
        <v>0</v>
      </c>
      <c r="N10" s="1419"/>
      <c r="O10" s="63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  <c r="AK10" s="610"/>
      <c r="AL10" s="610"/>
      <c r="AM10" s="610"/>
      <c r="AN10" s="610"/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  <c r="BC10" s="610"/>
      <c r="BD10" s="610"/>
      <c r="BE10" s="610"/>
      <c r="BF10" s="610"/>
      <c r="BG10" s="610"/>
      <c r="BH10" s="610"/>
      <c r="BI10" s="610"/>
      <c r="BJ10" s="610"/>
      <c r="BK10" s="610"/>
      <c r="BL10" s="610"/>
      <c r="BM10" s="610"/>
      <c r="BN10" s="610"/>
    </row>
    <row r="11" spans="1:76" ht="14.25" customHeight="1" thickBot="1" x14ac:dyDescent="0.25">
      <c r="A11" s="2259"/>
      <c r="B11" s="1095" t="s">
        <v>164</v>
      </c>
      <c r="C11" s="2260"/>
      <c r="D11" s="1890">
        <f>D26+D36+D47+D59+D72+D84</f>
        <v>52503709</v>
      </c>
      <c r="E11" s="1100">
        <f t="shared" ref="E11:H11" si="2">E26+E36+E47+E59+E72+E84</f>
        <v>10275217</v>
      </c>
      <c r="F11" s="1100">
        <f t="shared" si="2"/>
        <v>3742389</v>
      </c>
      <c r="G11" s="1100">
        <f>G26+G36+G47+G59+G72+G84</f>
        <v>38486103</v>
      </c>
      <c r="H11" s="1236">
        <f t="shared" si="2"/>
        <v>0</v>
      </c>
      <c r="I11" s="625">
        <f>I26+I36+I47+I59+I72+I84</f>
        <v>15412618</v>
      </c>
      <c r="J11" s="628">
        <f t="shared" ref="J11:J22" si="3">I11/D11*100</f>
        <v>29.355293737438625</v>
      </c>
      <c r="K11" s="626">
        <f>K26+K36+K47+K59+K72+K84</f>
        <v>1395012</v>
      </c>
      <c r="L11" s="1099">
        <f>K11/G11*100</f>
        <v>3.6247161735237259</v>
      </c>
      <c r="M11" s="2261">
        <f t="shared" si="1"/>
        <v>-37091091</v>
      </c>
      <c r="N11" s="1419"/>
      <c r="O11" s="630"/>
      <c r="P11" s="610"/>
      <c r="Q11" s="610"/>
      <c r="R11" s="610"/>
      <c r="S11" s="610"/>
      <c r="T11" s="610"/>
      <c r="U11" s="610"/>
      <c r="V11" s="610"/>
      <c r="W11" s="610"/>
      <c r="X11" s="610"/>
      <c r="Y11" s="610"/>
      <c r="Z11" s="610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610"/>
      <c r="AS11" s="610"/>
      <c r="AT11" s="610"/>
      <c r="AU11" s="610"/>
      <c r="AV11" s="610"/>
      <c r="AW11" s="610"/>
      <c r="AX11" s="610"/>
      <c r="AY11" s="610"/>
      <c r="AZ11" s="610"/>
      <c r="BA11" s="610"/>
      <c r="BB11" s="610"/>
      <c r="BC11" s="610"/>
      <c r="BD11" s="610"/>
      <c r="BE11" s="610"/>
      <c r="BF11" s="610"/>
      <c r="BG11" s="610"/>
      <c r="BH11" s="610"/>
      <c r="BI11" s="610"/>
      <c r="BJ11" s="610"/>
      <c r="BK11" s="610"/>
      <c r="BL11" s="610"/>
      <c r="BM11" s="610"/>
      <c r="BN11" s="610"/>
    </row>
    <row r="12" spans="1:76" s="2266" customFormat="1" ht="15" customHeight="1" x14ac:dyDescent="0.2">
      <c r="A12" s="3585"/>
      <c r="B12" s="631" t="s">
        <v>2</v>
      </c>
      <c r="C12" s="2262"/>
      <c r="D12" s="1893">
        <f>+D13+D16</f>
        <v>126716775</v>
      </c>
      <c r="E12" s="2263">
        <f t="shared" ref="E12:H12" si="4">+E13+E16</f>
        <v>17613084</v>
      </c>
      <c r="F12" s="2263">
        <f t="shared" si="4"/>
        <v>9839843</v>
      </c>
      <c r="G12" s="2263">
        <f t="shared" si="4"/>
        <v>99263848</v>
      </c>
      <c r="H12" s="2264">
        <f t="shared" si="4"/>
        <v>0</v>
      </c>
      <c r="I12" s="2265">
        <f>+I13+I16</f>
        <v>30045594</v>
      </c>
      <c r="J12" s="1896">
        <f t="shared" si="3"/>
        <v>23.710825973909134</v>
      </c>
      <c r="K12" s="1894">
        <f>+K13+K16</f>
        <v>2681529</v>
      </c>
      <c r="L12" s="1896">
        <f>K12/G12*100</f>
        <v>2.7014155244112641</v>
      </c>
      <c r="M12" s="2263">
        <f t="shared" si="1"/>
        <v>-96582319</v>
      </c>
      <c r="N12" s="3570"/>
      <c r="O12" s="1983"/>
      <c r="P12" s="1983"/>
      <c r="Q12" s="1983"/>
      <c r="R12" s="1983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/>
      <c r="AO12" s="610"/>
      <c r="AP12" s="610"/>
      <c r="AQ12" s="610"/>
      <c r="AR12" s="610"/>
      <c r="AS12" s="610"/>
      <c r="AT12" s="610"/>
      <c r="AU12" s="610"/>
      <c r="AV12" s="610"/>
      <c r="AW12" s="610"/>
      <c r="AX12" s="610"/>
      <c r="AY12" s="610"/>
      <c r="AZ12" s="610"/>
      <c r="BA12" s="610"/>
      <c r="BB12" s="610"/>
      <c r="BC12" s="610"/>
      <c r="BD12" s="610"/>
      <c r="BE12" s="610"/>
      <c r="BF12" s="610"/>
      <c r="BG12" s="610"/>
      <c r="BH12" s="610"/>
      <c r="BI12" s="610"/>
      <c r="BJ12" s="610"/>
      <c r="BK12" s="610"/>
      <c r="BL12" s="610"/>
      <c r="BM12" s="610"/>
      <c r="BN12" s="610"/>
      <c r="BO12" s="610"/>
      <c r="BP12" s="610"/>
      <c r="BQ12" s="610"/>
      <c r="BR12" s="610"/>
      <c r="BS12" s="610"/>
      <c r="BT12" s="610"/>
      <c r="BU12" s="610"/>
      <c r="BV12" s="610"/>
      <c r="BW12" s="610"/>
      <c r="BX12" s="610"/>
    </row>
    <row r="13" spans="1:76" s="2266" customFormat="1" ht="14.1" customHeight="1" x14ac:dyDescent="0.2">
      <c r="A13" s="3585"/>
      <c r="B13" s="1451" t="s">
        <v>3</v>
      </c>
      <c r="C13" s="3586" t="s">
        <v>78</v>
      </c>
      <c r="D13" s="2267">
        <f t="shared" ref="D13:H13" si="5">+D15+D14</f>
        <v>53185846</v>
      </c>
      <c r="E13" s="2268">
        <f t="shared" si="5"/>
        <v>10640725</v>
      </c>
      <c r="F13" s="3007">
        <f t="shared" si="5"/>
        <v>3783370</v>
      </c>
      <c r="G13" s="2272">
        <f t="shared" si="5"/>
        <v>38761751</v>
      </c>
      <c r="H13" s="2269">
        <f t="shared" si="5"/>
        <v>0</v>
      </c>
      <c r="I13" s="2270">
        <f>+I15+I14</f>
        <v>15973397</v>
      </c>
      <c r="J13" s="2271">
        <f>I13/D13*100</f>
        <v>30.033172735468007</v>
      </c>
      <c r="K13" s="2272">
        <f>+K15+K14</f>
        <v>1481765</v>
      </c>
      <c r="L13" s="2271">
        <f>K13/G13*100</f>
        <v>3.8227504221880997</v>
      </c>
      <c r="M13" s="2268">
        <f t="shared" si="1"/>
        <v>-37279986</v>
      </c>
      <c r="N13" s="3570"/>
      <c r="O13" s="1983"/>
      <c r="P13" s="1983"/>
      <c r="Q13" s="1983"/>
      <c r="R13" s="1983"/>
      <c r="S13" s="610"/>
      <c r="T13" s="610"/>
      <c r="U13" s="610"/>
      <c r="V13" s="610"/>
      <c r="W13" s="610"/>
      <c r="X13" s="610"/>
      <c r="Y13" s="610"/>
      <c r="Z13" s="610"/>
      <c r="AA13" s="610"/>
      <c r="AB13" s="610"/>
      <c r="AC13" s="610"/>
      <c r="AD13" s="610"/>
      <c r="AE13" s="610"/>
      <c r="AF13" s="610"/>
      <c r="AG13" s="610"/>
      <c r="AH13" s="610"/>
      <c r="AI13" s="610"/>
      <c r="AJ13" s="610"/>
      <c r="AK13" s="610"/>
      <c r="AL13" s="610"/>
      <c r="AM13" s="610"/>
      <c r="AN13" s="610"/>
      <c r="AO13" s="610"/>
      <c r="AP13" s="610"/>
      <c r="AQ13" s="610"/>
      <c r="AR13" s="610"/>
      <c r="AS13" s="610"/>
      <c r="AT13" s="610"/>
      <c r="AU13" s="610"/>
      <c r="AV13" s="610"/>
      <c r="AW13" s="610"/>
      <c r="AX13" s="610"/>
      <c r="AY13" s="610"/>
      <c r="AZ13" s="610"/>
      <c r="BA13" s="610"/>
      <c r="BB13" s="610"/>
      <c r="BC13" s="610"/>
      <c r="BD13" s="610"/>
      <c r="BE13" s="610"/>
      <c r="BF13" s="610"/>
      <c r="BG13" s="610"/>
      <c r="BH13" s="610"/>
      <c r="BI13" s="610"/>
      <c r="BJ13" s="610"/>
      <c r="BK13" s="610"/>
      <c r="BL13" s="610"/>
      <c r="BM13" s="610"/>
      <c r="BN13" s="610"/>
      <c r="BO13" s="610"/>
      <c r="BP13" s="610"/>
      <c r="BQ13" s="610"/>
      <c r="BR13" s="610"/>
      <c r="BS13" s="610"/>
      <c r="BT13" s="610"/>
      <c r="BU13" s="610"/>
      <c r="BV13" s="610"/>
      <c r="BW13" s="610"/>
      <c r="BX13" s="610"/>
    </row>
    <row r="14" spans="1:76" s="2266" customFormat="1" ht="14.1" customHeight="1" x14ac:dyDescent="0.2">
      <c r="A14" s="3585"/>
      <c r="B14" s="1458" t="s">
        <v>6</v>
      </c>
      <c r="C14" s="3586"/>
      <c r="D14" s="1476">
        <f>+D71+D35+D83+D48</f>
        <v>682137</v>
      </c>
      <c r="E14" s="1476">
        <f t="shared" ref="E14:G14" si="6">+E71+E35+E83+E48</f>
        <v>365508</v>
      </c>
      <c r="F14" s="2274">
        <f t="shared" si="6"/>
        <v>40981</v>
      </c>
      <c r="G14" s="1482">
        <f t="shared" si="6"/>
        <v>275648</v>
      </c>
      <c r="H14" s="2273">
        <f t="shared" ref="H14" si="7">+H71+H35+H83+H48</f>
        <v>0</v>
      </c>
      <c r="I14" s="2274">
        <f>+I71+I35+I83+I48</f>
        <v>560779</v>
      </c>
      <c r="J14" s="2271">
        <f t="shared" si="3"/>
        <v>82.209145670151301</v>
      </c>
      <c r="K14" s="1482">
        <f>+K71+K35+K83+K48</f>
        <v>86753</v>
      </c>
      <c r="L14" s="2275">
        <f>K14/G14*100</f>
        <v>31.472385070814951</v>
      </c>
      <c r="M14" s="2276">
        <f t="shared" si="1"/>
        <v>-188895</v>
      </c>
      <c r="N14" s="3570"/>
      <c r="O14" s="1983"/>
      <c r="P14" s="1983"/>
      <c r="Q14" s="1983"/>
      <c r="R14" s="1983"/>
      <c r="S14" s="1983"/>
      <c r="T14" s="1983">
        <f>+I14+I17</f>
        <v>14632976</v>
      </c>
      <c r="U14" s="610"/>
      <c r="V14" s="610"/>
      <c r="W14" s="610"/>
      <c r="X14" s="610"/>
      <c r="Y14" s="610"/>
      <c r="Z14" s="610"/>
      <c r="AA14" s="610"/>
      <c r="AB14" s="610"/>
      <c r="AC14" s="610"/>
      <c r="AD14" s="610"/>
      <c r="AE14" s="610"/>
      <c r="AF14" s="610"/>
      <c r="AG14" s="610"/>
      <c r="AH14" s="610"/>
      <c r="AI14" s="610"/>
      <c r="AJ14" s="610"/>
      <c r="AK14" s="610"/>
      <c r="AL14" s="610"/>
      <c r="AM14" s="610"/>
      <c r="AN14" s="610"/>
      <c r="AO14" s="610"/>
      <c r="AP14" s="610"/>
      <c r="AQ14" s="610"/>
      <c r="AR14" s="610"/>
      <c r="AS14" s="610"/>
      <c r="AT14" s="610"/>
      <c r="AU14" s="610"/>
      <c r="AV14" s="610"/>
      <c r="AW14" s="610"/>
      <c r="AX14" s="610"/>
      <c r="AY14" s="610"/>
      <c r="AZ14" s="610"/>
      <c r="BA14" s="610"/>
      <c r="BB14" s="610"/>
      <c r="BC14" s="610"/>
      <c r="BD14" s="610"/>
      <c r="BE14" s="610"/>
      <c r="BF14" s="610"/>
      <c r="BG14" s="610"/>
      <c r="BH14" s="610"/>
      <c r="BI14" s="610"/>
      <c r="BJ14" s="610"/>
      <c r="BK14" s="610"/>
      <c r="BL14" s="610"/>
      <c r="BM14" s="610"/>
      <c r="BN14" s="610"/>
      <c r="BO14" s="610"/>
      <c r="BP14" s="610"/>
      <c r="BQ14" s="610"/>
      <c r="BR14" s="610"/>
      <c r="BS14" s="610"/>
      <c r="BT14" s="610"/>
      <c r="BU14" s="610"/>
      <c r="BV14" s="610"/>
      <c r="BW14" s="610"/>
      <c r="BX14" s="610"/>
    </row>
    <row r="15" spans="1:76" s="2266" customFormat="1" ht="14.1" customHeight="1" x14ac:dyDescent="0.2">
      <c r="A15" s="3585"/>
      <c r="B15" s="1462" t="s">
        <v>149</v>
      </c>
      <c r="C15" s="3586"/>
      <c r="D15" s="1476">
        <f>+D26+D36+D47+D59+D84+D72</f>
        <v>52503709</v>
      </c>
      <c r="E15" s="1476">
        <f t="shared" ref="E15:G15" si="8">+E26+E36+E47+E59+E84+E72</f>
        <v>10275217</v>
      </c>
      <c r="F15" s="2274">
        <f t="shared" si="8"/>
        <v>3742389</v>
      </c>
      <c r="G15" s="1482">
        <f t="shared" si="8"/>
        <v>38486103</v>
      </c>
      <c r="H15" s="2273">
        <f>+H26+H36+H47+H59+H84+H72</f>
        <v>0</v>
      </c>
      <c r="I15" s="1476">
        <f>+I26+I36+I47+I59+I84+I72</f>
        <v>15412618</v>
      </c>
      <c r="J15" s="2277">
        <f t="shared" si="3"/>
        <v>29.355293737438625</v>
      </c>
      <c r="K15" s="1482">
        <f>+K26+K36+K47+K59+K84+K72</f>
        <v>1395012</v>
      </c>
      <c r="L15" s="2277">
        <f t="shared" ref="L15:L22" si="9">K15/G15*100</f>
        <v>3.6247161735237259</v>
      </c>
      <c r="M15" s="1482">
        <f t="shared" si="1"/>
        <v>-37091091</v>
      </c>
      <c r="N15" s="3570"/>
      <c r="O15" s="1983"/>
      <c r="P15" s="1983"/>
      <c r="Q15" s="1983"/>
      <c r="R15" s="1983"/>
      <c r="S15" s="610"/>
      <c r="T15" s="1983">
        <f>+T14-S14</f>
        <v>14632976</v>
      </c>
      <c r="U15" s="610"/>
      <c r="V15" s="610"/>
      <c r="W15" s="610"/>
      <c r="X15" s="610"/>
      <c r="Y15" s="610"/>
      <c r="Z15" s="610"/>
      <c r="AA15" s="610"/>
      <c r="AB15" s="610"/>
      <c r="AC15" s="610"/>
      <c r="AD15" s="610"/>
      <c r="AE15" s="610"/>
      <c r="AF15" s="610"/>
      <c r="AG15" s="610"/>
      <c r="AH15" s="610"/>
      <c r="AI15" s="610"/>
      <c r="AJ15" s="610"/>
      <c r="AK15" s="610"/>
      <c r="AL15" s="610"/>
      <c r="AM15" s="610"/>
      <c r="AN15" s="610"/>
      <c r="AO15" s="610"/>
      <c r="AP15" s="610"/>
      <c r="AQ15" s="610"/>
      <c r="AR15" s="610"/>
      <c r="AS15" s="610"/>
      <c r="AT15" s="610"/>
      <c r="AU15" s="610"/>
      <c r="AV15" s="610"/>
      <c r="AW15" s="610"/>
      <c r="AX15" s="610"/>
      <c r="AY15" s="610"/>
      <c r="AZ15" s="610"/>
      <c r="BA15" s="610"/>
      <c r="BB15" s="610"/>
      <c r="BC15" s="610"/>
      <c r="BD15" s="610"/>
      <c r="BE15" s="610"/>
      <c r="BF15" s="610"/>
      <c r="BG15" s="610"/>
      <c r="BH15" s="610"/>
      <c r="BI15" s="610"/>
      <c r="BJ15" s="610"/>
      <c r="BK15" s="610"/>
      <c r="BL15" s="610"/>
      <c r="BM15" s="610"/>
      <c r="BN15" s="610"/>
      <c r="BO15" s="610"/>
      <c r="BP15" s="610"/>
      <c r="BQ15" s="610"/>
      <c r="BR15" s="610"/>
      <c r="BS15" s="610"/>
      <c r="BT15" s="610"/>
      <c r="BU15" s="610"/>
      <c r="BV15" s="610"/>
      <c r="BW15" s="610"/>
      <c r="BX15" s="610"/>
    </row>
    <row r="16" spans="1:76" s="2266" customFormat="1" ht="14.1" customHeight="1" x14ac:dyDescent="0.2">
      <c r="A16" s="3585"/>
      <c r="B16" s="1451" t="s">
        <v>12</v>
      </c>
      <c r="C16" s="3586"/>
      <c r="D16" s="2267">
        <f t="shared" ref="D16:K16" si="10">+D17</f>
        <v>73530929</v>
      </c>
      <c r="E16" s="2268">
        <f t="shared" si="10"/>
        <v>6972359</v>
      </c>
      <c r="F16" s="3007">
        <f t="shared" si="10"/>
        <v>6056473</v>
      </c>
      <c r="G16" s="2272">
        <f t="shared" si="10"/>
        <v>60502097</v>
      </c>
      <c r="H16" s="2268">
        <f t="shared" si="10"/>
        <v>0</v>
      </c>
      <c r="I16" s="2270">
        <f>+I17</f>
        <v>14072197</v>
      </c>
      <c r="J16" s="2271">
        <f t="shared" si="3"/>
        <v>19.137793023123645</v>
      </c>
      <c r="K16" s="2272">
        <f t="shared" si="10"/>
        <v>1199764</v>
      </c>
      <c r="L16" s="2271">
        <f t="shared" si="9"/>
        <v>1.9830122582362724</v>
      </c>
      <c r="M16" s="2268">
        <f t="shared" si="1"/>
        <v>-59302333</v>
      </c>
      <c r="N16" s="3570"/>
      <c r="O16" s="1983"/>
      <c r="P16" s="1983"/>
      <c r="Q16" s="1983"/>
      <c r="R16" s="1983"/>
      <c r="S16" s="610"/>
      <c r="T16" s="610"/>
      <c r="U16" s="610"/>
      <c r="V16" s="610"/>
      <c r="W16" s="610"/>
      <c r="X16" s="610"/>
      <c r="Y16" s="610"/>
      <c r="Z16" s="610"/>
      <c r="AA16" s="610"/>
      <c r="AB16" s="610"/>
      <c r="AC16" s="610"/>
      <c r="AD16" s="610"/>
      <c r="AE16" s="610"/>
      <c r="AF16" s="610"/>
      <c r="AG16" s="610"/>
      <c r="AH16" s="610"/>
      <c r="AI16" s="610"/>
      <c r="AJ16" s="610"/>
      <c r="AK16" s="610"/>
      <c r="AL16" s="610"/>
      <c r="AM16" s="610"/>
      <c r="AN16" s="610"/>
      <c r="AO16" s="610"/>
      <c r="AP16" s="610"/>
      <c r="AQ16" s="610"/>
      <c r="AR16" s="610"/>
      <c r="AS16" s="610"/>
      <c r="AT16" s="610"/>
      <c r="AU16" s="610"/>
      <c r="AV16" s="610"/>
      <c r="AW16" s="610"/>
      <c r="AX16" s="610"/>
      <c r="AY16" s="610"/>
      <c r="AZ16" s="610"/>
      <c r="BA16" s="610"/>
      <c r="BB16" s="610"/>
      <c r="BC16" s="610"/>
      <c r="BD16" s="610"/>
      <c r="BE16" s="610"/>
      <c r="BF16" s="610"/>
      <c r="BG16" s="610"/>
      <c r="BH16" s="610"/>
      <c r="BI16" s="610"/>
      <c r="BJ16" s="610"/>
      <c r="BK16" s="610"/>
      <c r="BL16" s="610"/>
      <c r="BM16" s="610"/>
      <c r="BN16" s="610"/>
      <c r="BO16" s="610"/>
      <c r="BP16" s="610"/>
      <c r="BQ16" s="610"/>
      <c r="BR16" s="610"/>
      <c r="BS16" s="610"/>
      <c r="BT16" s="610"/>
      <c r="BU16" s="610"/>
      <c r="BV16" s="610"/>
      <c r="BW16" s="610"/>
      <c r="BX16" s="610"/>
    </row>
    <row r="17" spans="1:76" s="2266" customFormat="1" ht="14.1" customHeight="1" x14ac:dyDescent="0.2">
      <c r="A17" s="3585"/>
      <c r="B17" s="1458" t="s">
        <v>15</v>
      </c>
      <c r="C17" s="3586"/>
      <c r="D17" s="1476">
        <f>D28+D38+D50+D74+D86+D62</f>
        <v>73530929</v>
      </c>
      <c r="E17" s="1476">
        <f t="shared" ref="E17:G17" si="11">E28+E38+E50+E74+E86+E62</f>
        <v>6972359</v>
      </c>
      <c r="F17" s="2274">
        <f t="shared" si="11"/>
        <v>6056473</v>
      </c>
      <c r="G17" s="1482">
        <f t="shared" si="11"/>
        <v>60502097</v>
      </c>
      <c r="H17" s="2276">
        <f>H28+H38+H50+H74+H86+H62</f>
        <v>0</v>
      </c>
      <c r="I17" s="2274">
        <f>I28+I38+I50+I74+I86++I62</f>
        <v>14072197</v>
      </c>
      <c r="J17" s="2277">
        <f t="shared" si="3"/>
        <v>19.137793023123645</v>
      </c>
      <c r="K17" s="1482">
        <f>K28+K38+K50+K74+K86+K62</f>
        <v>1199764</v>
      </c>
      <c r="L17" s="2277">
        <f t="shared" si="9"/>
        <v>1.9830122582362724</v>
      </c>
      <c r="M17" s="2276">
        <f t="shared" si="1"/>
        <v>-59302333</v>
      </c>
      <c r="N17" s="3570"/>
      <c r="O17" s="1983"/>
      <c r="P17" s="1983"/>
      <c r="Q17" s="1983"/>
      <c r="R17" s="1983"/>
      <c r="S17" s="610"/>
      <c r="T17" s="610"/>
      <c r="U17" s="610"/>
      <c r="V17" s="610"/>
      <c r="W17" s="610"/>
      <c r="X17" s="610"/>
      <c r="Y17" s="610"/>
      <c r="Z17" s="610"/>
      <c r="AA17" s="610"/>
      <c r="AB17" s="610"/>
      <c r="AC17" s="610"/>
      <c r="AD17" s="610"/>
      <c r="AE17" s="610"/>
      <c r="AF17" s="610"/>
      <c r="AG17" s="610"/>
      <c r="AH17" s="610"/>
      <c r="AI17" s="610"/>
      <c r="AJ17" s="610"/>
      <c r="AK17" s="610"/>
      <c r="AL17" s="610"/>
      <c r="AM17" s="610"/>
      <c r="AN17" s="610"/>
      <c r="AO17" s="610"/>
      <c r="AP17" s="610"/>
      <c r="AQ17" s="610"/>
      <c r="AR17" s="610"/>
      <c r="AS17" s="610"/>
      <c r="AT17" s="610"/>
      <c r="AU17" s="610"/>
      <c r="AV17" s="610"/>
      <c r="AW17" s="610"/>
      <c r="AX17" s="610"/>
      <c r="AY17" s="610"/>
      <c r="AZ17" s="610"/>
      <c r="BA17" s="610"/>
      <c r="BB17" s="610"/>
      <c r="BC17" s="610"/>
      <c r="BD17" s="610"/>
      <c r="BE17" s="610"/>
      <c r="BF17" s="610"/>
      <c r="BG17" s="610"/>
      <c r="BH17" s="610"/>
      <c r="BI17" s="610"/>
      <c r="BJ17" s="610"/>
      <c r="BK17" s="610"/>
      <c r="BL17" s="610"/>
      <c r="BM17" s="610"/>
      <c r="BN17" s="610"/>
      <c r="BO17" s="610"/>
      <c r="BP17" s="610"/>
      <c r="BQ17" s="610"/>
      <c r="BR17" s="610"/>
      <c r="BS17" s="610"/>
      <c r="BT17" s="610"/>
      <c r="BU17" s="610"/>
      <c r="BV17" s="610"/>
      <c r="BW17" s="610"/>
      <c r="BX17" s="610"/>
    </row>
    <row r="18" spans="1:76" s="2266" customFormat="1" ht="14.25" customHeight="1" x14ac:dyDescent="0.2">
      <c r="A18" s="3585"/>
      <c r="B18" s="220" t="s">
        <v>16</v>
      </c>
      <c r="C18" s="2278"/>
      <c r="D18" s="1908">
        <f t="shared" ref="D18:H18" si="12">+D21+D19</f>
        <v>95771151</v>
      </c>
      <c r="E18" s="1797">
        <f t="shared" si="12"/>
        <v>10383595</v>
      </c>
      <c r="F18" s="1797">
        <f t="shared" si="12"/>
        <v>6906823</v>
      </c>
      <c r="G18" s="1797">
        <f t="shared" si="12"/>
        <v>78480733</v>
      </c>
      <c r="H18" s="2279">
        <f t="shared" si="12"/>
        <v>0</v>
      </c>
      <c r="I18" s="1794">
        <f>+I21+I19</f>
        <v>19360888</v>
      </c>
      <c r="J18" s="1909">
        <f t="shared" si="3"/>
        <v>20.21578293446635</v>
      </c>
      <c r="K18" s="1797">
        <f>+K21+K19</f>
        <v>2176070</v>
      </c>
      <c r="L18" s="1909">
        <f t="shared" si="9"/>
        <v>2.77274423519974</v>
      </c>
      <c r="M18" s="1797">
        <f t="shared" si="1"/>
        <v>-76304663</v>
      </c>
      <c r="N18" s="3570"/>
      <c r="O18" s="1983"/>
      <c r="P18" s="1983"/>
      <c r="Q18" s="1983"/>
      <c r="R18" s="1983"/>
      <c r="S18" s="610"/>
      <c r="T18" s="610"/>
      <c r="U18" s="610"/>
      <c r="V18" s="610"/>
      <c r="W18" s="610"/>
      <c r="X18" s="610"/>
      <c r="Y18" s="610"/>
      <c r="Z18" s="610"/>
      <c r="AA18" s="610"/>
      <c r="AB18" s="610"/>
      <c r="AC18" s="610"/>
      <c r="AD18" s="610"/>
      <c r="AE18" s="610"/>
      <c r="AF18" s="610"/>
      <c r="AG18" s="610"/>
      <c r="AH18" s="610"/>
      <c r="AI18" s="610"/>
      <c r="AJ18" s="610"/>
      <c r="AK18" s="610"/>
      <c r="AL18" s="610"/>
      <c r="AM18" s="610"/>
      <c r="AN18" s="610"/>
      <c r="AO18" s="610"/>
      <c r="AP18" s="610"/>
      <c r="AQ18" s="610"/>
      <c r="AR18" s="610"/>
      <c r="AS18" s="610"/>
      <c r="AT18" s="610"/>
      <c r="AU18" s="610"/>
      <c r="AV18" s="610"/>
      <c r="AW18" s="610"/>
      <c r="AX18" s="610"/>
      <c r="AY18" s="610"/>
      <c r="AZ18" s="610"/>
      <c r="BA18" s="610"/>
      <c r="BB18" s="610"/>
      <c r="BC18" s="610"/>
      <c r="BD18" s="610"/>
      <c r="BE18" s="610"/>
      <c r="BF18" s="610"/>
      <c r="BG18" s="610"/>
      <c r="BH18" s="610"/>
      <c r="BI18" s="610"/>
      <c r="BJ18" s="610"/>
      <c r="BK18" s="610"/>
      <c r="BL18" s="610"/>
      <c r="BM18" s="610"/>
      <c r="BN18" s="610"/>
      <c r="BO18" s="610"/>
      <c r="BP18" s="610"/>
      <c r="BQ18" s="610"/>
      <c r="BR18" s="610"/>
      <c r="BS18" s="610"/>
      <c r="BT18" s="610"/>
      <c r="BU18" s="610"/>
      <c r="BV18" s="610"/>
      <c r="BW18" s="610"/>
      <c r="BX18" s="610"/>
    </row>
    <row r="19" spans="1:76" s="2266" customFormat="1" ht="14.25" customHeight="1" x14ac:dyDescent="0.2">
      <c r="A19" s="3585"/>
      <c r="B19" s="1451" t="s">
        <v>17</v>
      </c>
      <c r="C19" s="3586"/>
      <c r="D19" s="2267">
        <f t="shared" ref="D19:K19" si="13">+D20</f>
        <v>22240222</v>
      </c>
      <c r="E19" s="2268">
        <f t="shared" si="13"/>
        <v>1667320</v>
      </c>
      <c r="F19" s="2268">
        <f t="shared" si="13"/>
        <v>2037072</v>
      </c>
      <c r="G19" s="2268">
        <f t="shared" si="13"/>
        <v>18535830</v>
      </c>
      <c r="H19" s="2269">
        <f t="shared" si="13"/>
        <v>0</v>
      </c>
      <c r="I19" s="2270">
        <f t="shared" si="13"/>
        <v>4372580</v>
      </c>
      <c r="J19" s="2271">
        <f t="shared" si="3"/>
        <v>19.660685041723056</v>
      </c>
      <c r="K19" s="2272">
        <f t="shared" si="13"/>
        <v>668188</v>
      </c>
      <c r="L19" s="2271">
        <f t="shared" si="9"/>
        <v>3.6048453184993603</v>
      </c>
      <c r="M19" s="2268">
        <f t="shared" si="1"/>
        <v>-17867642</v>
      </c>
      <c r="N19" s="3570"/>
      <c r="O19" s="1983"/>
      <c r="P19" s="610"/>
      <c r="Q19" s="610"/>
      <c r="R19" s="610"/>
      <c r="S19" s="610"/>
      <c r="T19" s="610"/>
      <c r="U19" s="610"/>
      <c r="V19" s="610"/>
      <c r="W19" s="610"/>
      <c r="X19" s="610"/>
      <c r="Y19" s="610"/>
      <c r="Z19" s="610"/>
      <c r="AA19" s="610"/>
      <c r="AB19" s="610"/>
      <c r="AC19" s="610"/>
      <c r="AD19" s="610"/>
      <c r="AE19" s="610"/>
      <c r="AF19" s="610"/>
      <c r="AG19" s="610"/>
      <c r="AH19" s="610"/>
      <c r="AI19" s="610"/>
      <c r="AJ19" s="610"/>
      <c r="AK19" s="610"/>
      <c r="AL19" s="610"/>
      <c r="AM19" s="610"/>
      <c r="AN19" s="610"/>
      <c r="AO19" s="610"/>
      <c r="AP19" s="610"/>
      <c r="AQ19" s="610"/>
      <c r="AR19" s="610"/>
      <c r="AS19" s="610"/>
      <c r="AT19" s="610"/>
      <c r="AU19" s="610"/>
      <c r="AV19" s="610"/>
      <c r="AW19" s="610"/>
      <c r="AX19" s="610"/>
      <c r="AY19" s="610"/>
      <c r="AZ19" s="610"/>
      <c r="BA19" s="610"/>
      <c r="BB19" s="610"/>
      <c r="BC19" s="610"/>
      <c r="BD19" s="610"/>
      <c r="BE19" s="610"/>
      <c r="BF19" s="610"/>
      <c r="BG19" s="610"/>
      <c r="BH19" s="610"/>
      <c r="BI19" s="610"/>
      <c r="BJ19" s="610"/>
      <c r="BK19" s="610"/>
      <c r="BL19" s="610"/>
      <c r="BM19" s="610"/>
      <c r="BN19" s="610"/>
      <c r="BO19" s="610"/>
      <c r="BP19" s="610"/>
      <c r="BQ19" s="610"/>
      <c r="BR19" s="610"/>
      <c r="BS19" s="610"/>
      <c r="BT19" s="610"/>
      <c r="BU19" s="610"/>
      <c r="BV19" s="610"/>
      <c r="BW19" s="610"/>
      <c r="BX19" s="610"/>
    </row>
    <row r="20" spans="1:76" s="2266" customFormat="1" ht="14.25" customHeight="1" x14ac:dyDescent="0.2">
      <c r="A20" s="3585"/>
      <c r="B20" s="1458" t="s">
        <v>150</v>
      </c>
      <c r="C20" s="3586"/>
      <c r="D20" s="1476">
        <f t="shared" ref="D20:G20" si="14">+D41+D53+D77+D89+D65</f>
        <v>22240222</v>
      </c>
      <c r="E20" s="2276">
        <f t="shared" si="14"/>
        <v>1667320</v>
      </c>
      <c r="F20" s="2276">
        <f t="shared" si="14"/>
        <v>2037072</v>
      </c>
      <c r="G20" s="2276">
        <f t="shared" si="14"/>
        <v>18535830</v>
      </c>
      <c r="H20" s="2273">
        <f>+H41+H53+H77+H89+H65</f>
        <v>0</v>
      </c>
      <c r="I20" s="2274">
        <f>+I41+I53+I77+I89+I65</f>
        <v>4372580</v>
      </c>
      <c r="J20" s="2277">
        <f t="shared" si="3"/>
        <v>19.660685041723056</v>
      </c>
      <c r="K20" s="1482">
        <f>+K41+K53+K77+K89+K65</f>
        <v>668188</v>
      </c>
      <c r="L20" s="2277">
        <f t="shared" si="9"/>
        <v>3.6048453184993603</v>
      </c>
      <c r="M20" s="2276">
        <f t="shared" si="1"/>
        <v>-17867642</v>
      </c>
      <c r="N20" s="3570"/>
      <c r="O20" s="1983"/>
      <c r="P20" s="610"/>
      <c r="Q20" s="610"/>
      <c r="R20" s="610"/>
      <c r="S20" s="610"/>
      <c r="T20" s="610"/>
      <c r="U20" s="610"/>
      <c r="V20" s="610"/>
      <c r="W20" s="610"/>
      <c r="X20" s="610"/>
      <c r="Y20" s="610"/>
      <c r="Z20" s="610"/>
      <c r="AA20" s="610"/>
      <c r="AB20" s="610"/>
      <c r="AC20" s="610"/>
      <c r="AD20" s="610"/>
      <c r="AE20" s="610"/>
      <c r="AF20" s="610"/>
      <c r="AG20" s="610"/>
      <c r="AH20" s="610"/>
      <c r="AI20" s="610"/>
      <c r="AJ20" s="610"/>
      <c r="AK20" s="610"/>
      <c r="AL20" s="610"/>
      <c r="AM20" s="610"/>
      <c r="AN20" s="610"/>
      <c r="AO20" s="610"/>
      <c r="AP20" s="610"/>
      <c r="AQ20" s="610"/>
      <c r="AR20" s="610"/>
      <c r="AS20" s="610"/>
      <c r="AT20" s="610"/>
      <c r="AU20" s="610"/>
      <c r="AV20" s="610"/>
      <c r="AW20" s="610"/>
      <c r="AX20" s="610"/>
      <c r="AY20" s="610"/>
      <c r="AZ20" s="610"/>
      <c r="BA20" s="610"/>
      <c r="BB20" s="610"/>
      <c r="BC20" s="610"/>
      <c r="BD20" s="610"/>
      <c r="BE20" s="610"/>
      <c r="BF20" s="610"/>
      <c r="BG20" s="610"/>
      <c r="BH20" s="610"/>
      <c r="BI20" s="610"/>
      <c r="BJ20" s="610"/>
      <c r="BK20" s="610"/>
      <c r="BL20" s="610"/>
      <c r="BM20" s="610"/>
      <c r="BN20" s="610"/>
      <c r="BO20" s="610"/>
      <c r="BP20" s="610"/>
      <c r="BQ20" s="610"/>
      <c r="BR20" s="610"/>
      <c r="BS20" s="610"/>
      <c r="BT20" s="610"/>
      <c r="BU20" s="610"/>
      <c r="BV20" s="610"/>
      <c r="BW20" s="610"/>
      <c r="BX20" s="610"/>
    </row>
    <row r="21" spans="1:76" s="2266" customFormat="1" ht="14.1" customHeight="1" x14ac:dyDescent="0.2">
      <c r="A21" s="3585"/>
      <c r="B21" s="1451" t="s">
        <v>12</v>
      </c>
      <c r="C21" s="3586" t="s">
        <v>78</v>
      </c>
      <c r="D21" s="2267">
        <f t="shared" ref="D21:I21" si="15">+D22</f>
        <v>73530929</v>
      </c>
      <c r="E21" s="2272">
        <f t="shared" si="15"/>
        <v>8716275</v>
      </c>
      <c r="F21" s="2272">
        <f t="shared" si="15"/>
        <v>4869751</v>
      </c>
      <c r="G21" s="2272">
        <f t="shared" si="15"/>
        <v>59944903</v>
      </c>
      <c r="H21" s="2269">
        <f t="shared" si="15"/>
        <v>0</v>
      </c>
      <c r="I21" s="2270">
        <f t="shared" si="15"/>
        <v>14988308</v>
      </c>
      <c r="J21" s="2271">
        <f t="shared" si="3"/>
        <v>20.383678275029002</v>
      </c>
      <c r="K21" s="2272">
        <f>+K22</f>
        <v>1507882</v>
      </c>
      <c r="L21" s="2271">
        <f t="shared" si="9"/>
        <v>2.5154465593179789</v>
      </c>
      <c r="M21" s="2268">
        <f t="shared" si="1"/>
        <v>-58437021</v>
      </c>
      <c r="N21" s="3570"/>
      <c r="O21" s="1983"/>
      <c r="P21" s="610"/>
      <c r="Q21" s="610"/>
      <c r="R21" s="610"/>
      <c r="S21" s="610"/>
      <c r="T21" s="610"/>
      <c r="U21" s="610"/>
      <c r="V21" s="610"/>
      <c r="W21" s="610"/>
      <c r="X21" s="610"/>
      <c r="Y21" s="610"/>
      <c r="Z21" s="610"/>
      <c r="AA21" s="610"/>
      <c r="AB21" s="610"/>
      <c r="AC21" s="610"/>
      <c r="AD21" s="610"/>
      <c r="AE21" s="610"/>
      <c r="AF21" s="610"/>
      <c r="AG21" s="610"/>
      <c r="AH21" s="610"/>
      <c r="AI21" s="610"/>
      <c r="AJ21" s="610"/>
      <c r="AK21" s="610"/>
      <c r="AL21" s="610"/>
      <c r="AM21" s="610"/>
      <c r="AN21" s="610"/>
      <c r="AO21" s="610"/>
      <c r="AP21" s="610"/>
      <c r="AQ21" s="610"/>
      <c r="AR21" s="610"/>
      <c r="AS21" s="610"/>
      <c r="AT21" s="610"/>
      <c r="AU21" s="610"/>
      <c r="AV21" s="610"/>
      <c r="AW21" s="610"/>
      <c r="AX21" s="610"/>
      <c r="AY21" s="610"/>
      <c r="AZ21" s="610"/>
      <c r="BA21" s="610"/>
      <c r="BB21" s="610"/>
      <c r="BC21" s="610"/>
      <c r="BD21" s="610"/>
      <c r="BE21" s="610"/>
      <c r="BF21" s="610"/>
      <c r="BG21" s="610"/>
      <c r="BH21" s="610"/>
      <c r="BI21" s="610"/>
      <c r="BJ21" s="610"/>
      <c r="BK21" s="610"/>
      <c r="BL21" s="610"/>
      <c r="BM21" s="610"/>
      <c r="BN21" s="610"/>
      <c r="BO21" s="610"/>
      <c r="BP21" s="610"/>
      <c r="BQ21" s="610"/>
      <c r="BR21" s="610"/>
      <c r="BS21" s="610"/>
      <c r="BT21" s="610"/>
      <c r="BU21" s="610"/>
      <c r="BV21" s="610"/>
      <c r="BW21" s="610"/>
      <c r="BX21" s="610"/>
    </row>
    <row r="22" spans="1:76" s="2266" customFormat="1" ht="14.1" customHeight="1" thickBot="1" x14ac:dyDescent="0.25">
      <c r="A22" s="3585"/>
      <c r="B22" s="2280" t="s">
        <v>15</v>
      </c>
      <c r="C22" s="3596"/>
      <c r="D22" s="2281">
        <f>D31+D43+D55+D79+D91+D67</f>
        <v>73530929</v>
      </c>
      <c r="E22" s="2282">
        <f t="shared" ref="E22:F22" si="16">E31+E43+E55+E79+E91+E67</f>
        <v>8716275</v>
      </c>
      <c r="F22" s="2282">
        <f t="shared" si="16"/>
        <v>4869751</v>
      </c>
      <c r="G22" s="2282">
        <f>G31+G43+G55+G79+G91+G67</f>
        <v>59944903</v>
      </c>
      <c r="H22" s="2283">
        <f>H31+H43+H55+H79+H91+H67</f>
        <v>0</v>
      </c>
      <c r="I22" s="2284">
        <f>I31+I43+I55+I79+I91+I67</f>
        <v>14988308</v>
      </c>
      <c r="J22" s="2285">
        <f t="shared" si="3"/>
        <v>20.383678275029002</v>
      </c>
      <c r="K22" s="2286">
        <f>K31+K43+K55+K79+K91+K67</f>
        <v>1507882</v>
      </c>
      <c r="L22" s="2285">
        <f t="shared" si="9"/>
        <v>2.5154465593179789</v>
      </c>
      <c r="M22" s="2282">
        <f t="shared" si="1"/>
        <v>-58437021</v>
      </c>
      <c r="N22" s="3571"/>
      <c r="O22" s="1983"/>
      <c r="P22" s="610"/>
      <c r="Q22" s="610"/>
      <c r="R22" s="610"/>
      <c r="S22" s="610"/>
      <c r="T22" s="610"/>
      <c r="U22" s="610"/>
      <c r="V22" s="610"/>
      <c r="W22" s="610"/>
      <c r="X22" s="610"/>
      <c r="Y22" s="610"/>
      <c r="Z22" s="610"/>
      <c r="AA22" s="610"/>
      <c r="AB22" s="610"/>
      <c r="AC22" s="610"/>
      <c r="AD22" s="610"/>
      <c r="AE22" s="610"/>
      <c r="AF22" s="610"/>
      <c r="AG22" s="610"/>
      <c r="AH22" s="610"/>
      <c r="AI22" s="610"/>
      <c r="AJ22" s="610"/>
      <c r="AK22" s="610"/>
      <c r="AL22" s="610"/>
      <c r="AM22" s="610"/>
      <c r="AN22" s="610"/>
      <c r="AO22" s="610"/>
      <c r="AP22" s="610"/>
      <c r="AQ22" s="610"/>
      <c r="AR22" s="610"/>
      <c r="AS22" s="610"/>
      <c r="AT22" s="610"/>
      <c r="AU22" s="610"/>
      <c r="AV22" s="610"/>
      <c r="AW22" s="610"/>
      <c r="AX22" s="610"/>
      <c r="AY22" s="610"/>
      <c r="AZ22" s="610"/>
      <c r="BA22" s="610"/>
      <c r="BB22" s="610"/>
      <c r="BC22" s="610"/>
      <c r="BD22" s="610"/>
      <c r="BE22" s="610"/>
      <c r="BF22" s="610"/>
      <c r="BG22" s="610"/>
      <c r="BH22" s="610"/>
      <c r="BI22" s="610"/>
      <c r="BJ22" s="610"/>
      <c r="BK22" s="610"/>
      <c r="BL22" s="610"/>
      <c r="BM22" s="610"/>
      <c r="BN22" s="610"/>
      <c r="BO22" s="610"/>
      <c r="BP22" s="610"/>
      <c r="BQ22" s="610"/>
      <c r="BR22" s="610"/>
      <c r="BS22" s="610"/>
      <c r="BT22" s="610"/>
      <c r="BU22" s="610"/>
      <c r="BV22" s="610"/>
      <c r="BW22" s="610"/>
      <c r="BX22" s="610"/>
    </row>
    <row r="23" spans="1:76" s="610" customFormat="1" ht="26.25" customHeight="1" x14ac:dyDescent="0.2">
      <c r="A23" s="3564" t="s">
        <v>32</v>
      </c>
      <c r="B23" s="2287" t="s">
        <v>318</v>
      </c>
      <c r="C23" s="1663" t="s">
        <v>204</v>
      </c>
      <c r="D23" s="2288"/>
      <c r="E23" s="2289"/>
      <c r="F23" s="2289"/>
      <c r="G23" s="2290"/>
      <c r="H23" s="2291"/>
      <c r="I23" s="2288"/>
      <c r="J23" s="2292"/>
      <c r="K23" s="2290"/>
      <c r="L23" s="2292"/>
      <c r="M23" s="2290"/>
      <c r="N23" s="3580" t="s">
        <v>151</v>
      </c>
      <c r="O23" s="1983"/>
      <c r="P23" s="1468"/>
      <c r="Q23" s="1468"/>
      <c r="R23" s="1468"/>
      <c r="S23" s="1468"/>
      <c r="T23" s="1468"/>
      <c r="U23" s="1468"/>
      <c r="V23" s="1468"/>
      <c r="W23" s="1468"/>
      <c r="X23" s="1468"/>
      <c r="Y23" s="1468"/>
      <c r="Z23" s="1468"/>
      <c r="AA23" s="1468"/>
      <c r="AB23" s="1468"/>
      <c r="AC23" s="1468"/>
      <c r="AD23" s="1468"/>
      <c r="AE23" s="1468"/>
      <c r="AF23" s="1468"/>
      <c r="AG23" s="1468"/>
      <c r="AH23" s="1468"/>
      <c r="AI23" s="1468"/>
      <c r="AJ23" s="1468"/>
      <c r="AK23" s="1468"/>
      <c r="AL23" s="1468"/>
      <c r="AM23" s="1468"/>
      <c r="AN23" s="1468"/>
      <c r="AO23" s="1468"/>
      <c r="AP23" s="1468"/>
      <c r="AQ23" s="1468"/>
      <c r="AR23" s="1468"/>
      <c r="AS23" s="1468"/>
      <c r="AT23" s="1468"/>
      <c r="AU23" s="1468"/>
      <c r="AV23" s="1468"/>
      <c r="AW23" s="1468"/>
      <c r="AX23" s="1468"/>
      <c r="AY23" s="1468"/>
      <c r="AZ23" s="1468"/>
      <c r="BA23" s="1468"/>
      <c r="BB23" s="1468"/>
      <c r="BC23" s="1468"/>
      <c r="BD23" s="1468"/>
      <c r="BE23" s="1468"/>
      <c r="BF23" s="1468"/>
      <c r="BG23" s="1468"/>
      <c r="BH23" s="1468"/>
      <c r="BI23" s="1468"/>
      <c r="BJ23" s="1468"/>
      <c r="BK23" s="1468"/>
      <c r="BL23" s="1468"/>
      <c r="BM23" s="1468"/>
      <c r="BN23" s="1468"/>
      <c r="BO23" s="1468"/>
      <c r="BP23" s="1468"/>
      <c r="BQ23" s="1468"/>
      <c r="BR23" s="1468"/>
      <c r="BS23" s="1468"/>
      <c r="BT23" s="1468"/>
      <c r="BU23" s="1468"/>
      <c r="BV23" s="1468"/>
      <c r="BW23" s="1468"/>
    </row>
    <row r="24" spans="1:76" s="610" customFormat="1" ht="14.1" customHeight="1" x14ac:dyDescent="0.2">
      <c r="A24" s="3565"/>
      <c r="B24" s="220" t="s">
        <v>2</v>
      </c>
      <c r="C24" s="2278"/>
      <c r="D24" s="1908">
        <f>+D25+D27</f>
        <v>2536207</v>
      </c>
      <c r="E24" s="1797">
        <f>+E25+E27</f>
        <v>256207</v>
      </c>
      <c r="F24" s="1927">
        <f t="shared" ref="F24" si="17">+F25+F27</f>
        <v>0</v>
      </c>
      <c r="G24" s="1797">
        <f>+G25+G27</f>
        <v>2280000</v>
      </c>
      <c r="H24" s="1797">
        <f t="shared" ref="H24" si="18">+H25+H27</f>
        <v>0</v>
      </c>
      <c r="I24" s="1908">
        <f t="shared" ref="I24:I25" si="19">K24+E24+F24</f>
        <v>256207</v>
      </c>
      <c r="J24" s="1909">
        <f>I24/D24*100</f>
        <v>10.101975114807269</v>
      </c>
      <c r="K24" s="1797">
        <f>+K25+K27</f>
        <v>0</v>
      </c>
      <c r="L24" s="1927">
        <v>0</v>
      </c>
      <c r="M24" s="1797">
        <f>+K24-G24</f>
        <v>-2280000</v>
      </c>
      <c r="N24" s="3581"/>
      <c r="O24" s="1983"/>
      <c r="P24" s="1468"/>
      <c r="Q24" s="1468"/>
      <c r="R24" s="1468"/>
      <c r="S24" s="1468"/>
      <c r="T24" s="1468"/>
      <c r="U24" s="1468"/>
      <c r="V24" s="1468"/>
      <c r="W24" s="1468"/>
      <c r="X24" s="1468"/>
      <c r="Y24" s="1468"/>
      <c r="Z24" s="1468"/>
      <c r="AA24" s="1468"/>
      <c r="AB24" s="1468"/>
      <c r="AC24" s="1468"/>
      <c r="AD24" s="1468"/>
      <c r="AE24" s="1468"/>
      <c r="AF24" s="1468"/>
      <c r="AG24" s="1468"/>
      <c r="AH24" s="1468"/>
      <c r="AI24" s="1468"/>
      <c r="AJ24" s="1468"/>
      <c r="AK24" s="1468"/>
      <c r="AL24" s="1468"/>
      <c r="AM24" s="1468"/>
      <c r="AN24" s="1468"/>
      <c r="AO24" s="1468"/>
      <c r="AP24" s="1468"/>
      <c r="AQ24" s="1468"/>
      <c r="AR24" s="1468"/>
      <c r="AS24" s="1468"/>
      <c r="AT24" s="1468"/>
      <c r="AU24" s="1468"/>
      <c r="AV24" s="1468"/>
      <c r="AW24" s="1468"/>
      <c r="AX24" s="1468"/>
      <c r="AY24" s="1468"/>
      <c r="AZ24" s="1468"/>
      <c r="BA24" s="1468"/>
      <c r="BB24" s="1468"/>
      <c r="BC24" s="1468"/>
      <c r="BD24" s="1468"/>
      <c r="BE24" s="1468"/>
      <c r="BF24" s="1468"/>
      <c r="BG24" s="1468"/>
      <c r="BH24" s="1468"/>
      <c r="BI24" s="1468"/>
      <c r="BJ24" s="1468"/>
      <c r="BK24" s="1468"/>
      <c r="BL24" s="1468"/>
      <c r="BM24" s="1468"/>
      <c r="BN24" s="1468"/>
      <c r="BO24" s="1468"/>
      <c r="BP24" s="1468"/>
      <c r="BQ24" s="1468"/>
      <c r="BR24" s="1468"/>
      <c r="BS24" s="1468"/>
      <c r="BT24" s="1468"/>
      <c r="BU24" s="1468"/>
      <c r="BV24" s="1468"/>
      <c r="BW24" s="1468"/>
    </row>
    <row r="25" spans="1:76" s="610" customFormat="1" ht="14.1" customHeight="1" x14ac:dyDescent="0.2">
      <c r="A25" s="3565"/>
      <c r="B25" s="242" t="s">
        <v>17</v>
      </c>
      <c r="C25" s="3215" t="s">
        <v>152</v>
      </c>
      <c r="D25" s="1544">
        <f t="shared" ref="D25:H25" si="20">D26</f>
        <v>2536207</v>
      </c>
      <c r="E25" s="1545">
        <f t="shared" si="20"/>
        <v>256207</v>
      </c>
      <c r="F25" s="2293">
        <f t="shared" si="20"/>
        <v>0</v>
      </c>
      <c r="G25" s="1545">
        <f t="shared" si="20"/>
        <v>2280000</v>
      </c>
      <c r="H25" s="1545">
        <f t="shared" si="20"/>
        <v>0</v>
      </c>
      <c r="I25" s="1544">
        <f t="shared" si="19"/>
        <v>256207</v>
      </c>
      <c r="J25" s="1548">
        <f>I25/D25*100</f>
        <v>10.101975114807269</v>
      </c>
      <c r="K25" s="1545">
        <f>K26</f>
        <v>0</v>
      </c>
      <c r="L25" s="2293">
        <v>0</v>
      </c>
      <c r="M25" s="1545">
        <f>+K25-G25</f>
        <v>-2280000</v>
      </c>
      <c r="N25" s="3581"/>
      <c r="O25" s="1983"/>
      <c r="P25" s="1468"/>
      <c r="Q25" s="1468"/>
      <c r="R25" s="1468"/>
      <c r="S25" s="1468"/>
      <c r="T25" s="1468"/>
      <c r="U25" s="1468"/>
      <c r="V25" s="1468"/>
      <c r="W25" s="1468"/>
      <c r="X25" s="1468"/>
      <c r="Y25" s="1468"/>
      <c r="Z25" s="1468"/>
      <c r="AA25" s="1468"/>
      <c r="AB25" s="1468"/>
      <c r="AC25" s="1468"/>
      <c r="AD25" s="1468"/>
      <c r="AE25" s="1468"/>
      <c r="AF25" s="1468"/>
      <c r="AG25" s="1468"/>
      <c r="AH25" s="1468"/>
      <c r="AI25" s="1468"/>
      <c r="AJ25" s="1468"/>
      <c r="AK25" s="1468"/>
      <c r="AL25" s="1468"/>
      <c r="AM25" s="1468"/>
      <c r="AN25" s="1468"/>
      <c r="AO25" s="1468"/>
      <c r="AP25" s="1468"/>
      <c r="AQ25" s="1468"/>
      <c r="AR25" s="1468"/>
      <c r="AS25" s="1468"/>
      <c r="AT25" s="1468"/>
      <c r="AU25" s="1468"/>
      <c r="AV25" s="1468"/>
      <c r="AW25" s="1468"/>
      <c r="AX25" s="1468"/>
      <c r="AY25" s="1468"/>
      <c r="AZ25" s="1468"/>
      <c r="BA25" s="1468"/>
      <c r="BB25" s="1468"/>
      <c r="BC25" s="1468"/>
      <c r="BD25" s="1468"/>
      <c r="BE25" s="1468"/>
      <c r="BF25" s="1468"/>
      <c r="BG25" s="1468"/>
      <c r="BH25" s="1468"/>
      <c r="BI25" s="1468"/>
      <c r="BJ25" s="1468"/>
      <c r="BK25" s="1468"/>
      <c r="BL25" s="1468"/>
      <c r="BM25" s="1468"/>
      <c r="BN25" s="1468"/>
      <c r="BO25" s="1468"/>
      <c r="BP25" s="1468"/>
      <c r="BQ25" s="1468"/>
      <c r="BR25" s="1468"/>
      <c r="BS25" s="1468"/>
      <c r="BT25" s="1468"/>
      <c r="BU25" s="1468"/>
      <c r="BV25" s="1468"/>
      <c r="BW25" s="1468"/>
    </row>
    <row r="26" spans="1:76" s="610" customFormat="1" ht="18" customHeight="1" thickBot="1" x14ac:dyDescent="0.25">
      <c r="A26" s="3565"/>
      <c r="B26" s="2044" t="s">
        <v>5</v>
      </c>
      <c r="C26" s="3561"/>
      <c r="D26" s="1559">
        <f>+E26+F26+G26+H26</f>
        <v>2536207</v>
      </c>
      <c r="E26" s="1560">
        <v>256207</v>
      </c>
      <c r="F26" s="1941">
        <v>0</v>
      </c>
      <c r="G26" s="1627">
        <v>2280000</v>
      </c>
      <c r="H26" s="1560">
        <v>0</v>
      </c>
      <c r="I26" s="1535">
        <f>K26+E26+F26</f>
        <v>256207</v>
      </c>
      <c r="J26" s="1540">
        <f>I26/D26*100</f>
        <v>10.101975114807269</v>
      </c>
      <c r="K26" s="1627">
        <v>0</v>
      </c>
      <c r="L26" s="2294">
        <v>0</v>
      </c>
      <c r="M26" s="1536">
        <f>+K26-G26</f>
        <v>-2280000</v>
      </c>
      <c r="N26" s="3581"/>
      <c r="O26" s="1983"/>
      <c r="P26" s="1468"/>
      <c r="Q26" s="1468"/>
      <c r="R26" s="1468"/>
      <c r="S26" s="1468"/>
      <c r="T26" s="1468"/>
      <c r="U26" s="1468"/>
      <c r="V26" s="1468"/>
      <c r="W26" s="1468"/>
      <c r="X26" s="1468"/>
      <c r="Y26" s="1468"/>
      <c r="Z26" s="1468"/>
      <c r="AA26" s="1468"/>
      <c r="AB26" s="1468"/>
      <c r="AC26" s="1468"/>
      <c r="AD26" s="1468"/>
      <c r="AE26" s="1468"/>
      <c r="AF26" s="1468"/>
      <c r="AG26" s="1468"/>
      <c r="AH26" s="1468"/>
      <c r="AI26" s="1468"/>
      <c r="AJ26" s="1468"/>
      <c r="AK26" s="1468"/>
      <c r="AL26" s="1468"/>
      <c r="AM26" s="1468"/>
      <c r="AN26" s="1468"/>
      <c r="AO26" s="1468"/>
      <c r="AP26" s="1468"/>
      <c r="AQ26" s="1468"/>
      <c r="AR26" s="1468"/>
      <c r="AS26" s="1468"/>
      <c r="AT26" s="1468"/>
      <c r="AU26" s="1468"/>
      <c r="AV26" s="1468"/>
      <c r="AW26" s="1468"/>
      <c r="AX26" s="1468"/>
      <c r="AY26" s="1468"/>
      <c r="AZ26" s="1468"/>
      <c r="BA26" s="1468"/>
      <c r="BB26" s="1468"/>
      <c r="BC26" s="1468"/>
      <c r="BD26" s="1468"/>
      <c r="BE26" s="1468"/>
      <c r="BF26" s="1468"/>
      <c r="BG26" s="1468"/>
      <c r="BH26" s="1468"/>
      <c r="BI26" s="1468"/>
      <c r="BJ26" s="1468"/>
      <c r="BK26" s="1468"/>
      <c r="BL26" s="1468"/>
      <c r="BM26" s="1468"/>
      <c r="BN26" s="1468"/>
      <c r="BO26" s="1468"/>
      <c r="BP26" s="1468"/>
      <c r="BQ26" s="1468"/>
      <c r="BR26" s="1468"/>
      <c r="BS26" s="1468"/>
      <c r="BT26" s="1468"/>
      <c r="BU26" s="1468"/>
      <c r="BV26" s="1468"/>
      <c r="BW26" s="1468"/>
    </row>
    <row r="27" spans="1:76" s="610" customFormat="1" ht="19.5" hidden="1" customHeight="1" x14ac:dyDescent="0.2">
      <c r="A27" s="3565"/>
      <c r="B27" s="253" t="s">
        <v>12</v>
      </c>
      <c r="C27" s="3561"/>
      <c r="D27" s="2295">
        <f t="shared" ref="D27:H27" si="21">+D28</f>
        <v>0</v>
      </c>
      <c r="E27" s="2296">
        <f t="shared" si="21"/>
        <v>0</v>
      </c>
      <c r="F27" s="2296">
        <f t="shared" si="21"/>
        <v>0</v>
      </c>
      <c r="G27" s="2296">
        <f t="shared" si="21"/>
        <v>0</v>
      </c>
      <c r="H27" s="2297">
        <f t="shared" si="21"/>
        <v>0</v>
      </c>
      <c r="I27" s="2298"/>
      <c r="J27" s="2293"/>
      <c r="K27" s="2293"/>
      <c r="L27" s="2293"/>
      <c r="M27" s="2293">
        <f t="shared" ref="M27:M31" si="22">+K27-G27*0.5</f>
        <v>0</v>
      </c>
      <c r="N27" s="3581"/>
      <c r="O27" s="1983"/>
      <c r="P27" s="1468"/>
      <c r="Q27" s="1468"/>
      <c r="R27" s="1468"/>
      <c r="S27" s="1468"/>
      <c r="T27" s="1468"/>
      <c r="U27" s="1468"/>
      <c r="V27" s="1468"/>
      <c r="W27" s="1468"/>
      <c r="X27" s="1468"/>
      <c r="Y27" s="1468"/>
      <c r="Z27" s="1468"/>
      <c r="AA27" s="1468"/>
      <c r="AB27" s="1468"/>
      <c r="AC27" s="1468"/>
      <c r="AD27" s="1468"/>
      <c r="AE27" s="1468"/>
      <c r="AF27" s="1468"/>
      <c r="AG27" s="1468"/>
      <c r="AH27" s="1468"/>
      <c r="AI27" s="1468"/>
      <c r="AJ27" s="1468"/>
      <c r="AK27" s="1468"/>
      <c r="AL27" s="1468"/>
      <c r="AM27" s="1468"/>
      <c r="AN27" s="1468"/>
      <c r="AO27" s="1468"/>
      <c r="AP27" s="1468"/>
      <c r="AQ27" s="1468"/>
      <c r="AR27" s="1468"/>
      <c r="AS27" s="1468"/>
      <c r="AT27" s="1468"/>
      <c r="AU27" s="1468"/>
      <c r="AV27" s="1468"/>
      <c r="AW27" s="1468"/>
      <c r="AX27" s="1468"/>
      <c r="AY27" s="1468"/>
      <c r="AZ27" s="1468"/>
      <c r="BA27" s="1468"/>
      <c r="BB27" s="1468"/>
      <c r="BC27" s="1468"/>
      <c r="BD27" s="1468"/>
      <c r="BE27" s="1468"/>
      <c r="BF27" s="1468"/>
      <c r="BG27" s="1468"/>
      <c r="BH27" s="1468"/>
      <c r="BI27" s="1468"/>
      <c r="BJ27" s="1468"/>
      <c r="BK27" s="1468"/>
      <c r="BL27" s="1468"/>
      <c r="BM27" s="1468"/>
      <c r="BN27" s="1468"/>
      <c r="BO27" s="1468"/>
      <c r="BP27" s="1468"/>
      <c r="BQ27" s="1468"/>
      <c r="BR27" s="1468"/>
      <c r="BS27" s="1468"/>
      <c r="BT27" s="1468"/>
      <c r="BU27" s="1468"/>
      <c r="BV27" s="1468"/>
      <c r="BW27" s="1468"/>
    </row>
    <row r="28" spans="1:76" s="610" customFormat="1" ht="17.25" hidden="1" customHeight="1" x14ac:dyDescent="0.2">
      <c r="A28" s="3565"/>
      <c r="B28" s="2053" t="s">
        <v>15</v>
      </c>
      <c r="C28" s="3569"/>
      <c r="D28" s="2299">
        <f>+E28+F28+G28+H28</f>
        <v>0</v>
      </c>
      <c r="E28" s="1941">
        <v>0</v>
      </c>
      <c r="F28" s="1941">
        <v>0</v>
      </c>
      <c r="G28" s="1941">
        <v>0</v>
      </c>
      <c r="H28" s="1562">
        <v>0</v>
      </c>
      <c r="I28" s="2299"/>
      <c r="J28" s="1941"/>
      <c r="K28" s="1941"/>
      <c r="L28" s="1941"/>
      <c r="M28" s="1941">
        <f t="shared" si="22"/>
        <v>0</v>
      </c>
      <c r="N28" s="3581"/>
      <c r="O28" s="1983"/>
      <c r="P28" s="1468"/>
      <c r="Q28" s="1468"/>
      <c r="R28" s="1468"/>
      <c r="S28" s="1468"/>
      <c r="T28" s="1468"/>
      <c r="U28" s="1468"/>
      <c r="V28" s="1468"/>
      <c r="W28" s="1468"/>
      <c r="X28" s="1468"/>
      <c r="Y28" s="1468"/>
      <c r="Z28" s="1468"/>
      <c r="AA28" s="1468"/>
      <c r="AB28" s="1468"/>
      <c r="AC28" s="1468"/>
      <c r="AD28" s="1468"/>
      <c r="AE28" s="1468"/>
      <c r="AF28" s="1468"/>
      <c r="AG28" s="1468"/>
      <c r="AH28" s="1468"/>
      <c r="AI28" s="1468"/>
      <c r="AJ28" s="1468"/>
      <c r="AK28" s="1468"/>
      <c r="AL28" s="1468"/>
      <c r="AM28" s="1468"/>
      <c r="AN28" s="1468"/>
      <c r="AO28" s="1468"/>
      <c r="AP28" s="1468"/>
      <c r="AQ28" s="1468"/>
      <c r="AR28" s="1468"/>
      <c r="AS28" s="1468"/>
      <c r="AT28" s="1468"/>
      <c r="AU28" s="1468"/>
      <c r="AV28" s="1468"/>
      <c r="AW28" s="1468"/>
      <c r="AX28" s="1468"/>
      <c r="AY28" s="1468"/>
      <c r="AZ28" s="1468"/>
      <c r="BA28" s="1468"/>
      <c r="BB28" s="1468"/>
      <c r="BC28" s="1468"/>
      <c r="BD28" s="1468"/>
      <c r="BE28" s="1468"/>
      <c r="BF28" s="1468"/>
      <c r="BG28" s="1468"/>
      <c r="BH28" s="1468"/>
      <c r="BI28" s="1468"/>
      <c r="BJ28" s="1468"/>
      <c r="BK28" s="1468"/>
      <c r="BL28" s="1468"/>
      <c r="BM28" s="1468"/>
      <c r="BN28" s="1468"/>
      <c r="BO28" s="1468"/>
      <c r="BP28" s="1468"/>
      <c r="BQ28" s="1468"/>
      <c r="BR28" s="1468"/>
      <c r="BS28" s="1468"/>
      <c r="BT28" s="1468"/>
      <c r="BU28" s="1468"/>
      <c r="BV28" s="1468"/>
      <c r="BW28" s="1468"/>
    </row>
    <row r="29" spans="1:76" s="2306" customFormat="1" ht="18" hidden="1" customHeight="1" x14ac:dyDescent="0.2">
      <c r="A29" s="3565"/>
      <c r="B29" s="2300" t="s">
        <v>16</v>
      </c>
      <c r="C29" s="2301"/>
      <c r="D29" s="2302">
        <f t="shared" ref="D29:H29" si="23">D30</f>
        <v>0</v>
      </c>
      <c r="E29" s="2303">
        <f t="shared" si="23"/>
        <v>0</v>
      </c>
      <c r="F29" s="2303">
        <f t="shared" si="23"/>
        <v>0</v>
      </c>
      <c r="G29" s="2303">
        <f t="shared" si="23"/>
        <v>0</v>
      </c>
      <c r="H29" s="2304">
        <f t="shared" si="23"/>
        <v>0</v>
      </c>
      <c r="I29" s="2302"/>
      <c r="J29" s="2303"/>
      <c r="K29" s="2303"/>
      <c r="L29" s="2303"/>
      <c r="M29" s="2303">
        <f t="shared" si="22"/>
        <v>0</v>
      </c>
      <c r="N29" s="3581"/>
      <c r="O29" s="1983"/>
      <c r="P29" s="2305"/>
      <c r="Q29" s="2305"/>
      <c r="R29" s="2305"/>
      <c r="S29" s="2305"/>
      <c r="T29" s="2305"/>
      <c r="U29" s="2305"/>
      <c r="V29" s="2305"/>
      <c r="W29" s="2305"/>
      <c r="X29" s="2305"/>
      <c r="Y29" s="2305"/>
      <c r="Z29" s="2305"/>
      <c r="AA29" s="2305"/>
      <c r="AB29" s="2305"/>
      <c r="AC29" s="2305"/>
      <c r="AD29" s="2305"/>
      <c r="AE29" s="2305"/>
      <c r="AF29" s="2305"/>
      <c r="AG29" s="2305"/>
      <c r="AH29" s="2305"/>
      <c r="AI29" s="2305"/>
      <c r="AJ29" s="2305"/>
      <c r="AK29" s="2305"/>
      <c r="AL29" s="2305"/>
      <c r="AM29" s="2305"/>
      <c r="AN29" s="2305"/>
      <c r="AO29" s="2305"/>
      <c r="AP29" s="2305"/>
      <c r="AQ29" s="2305"/>
      <c r="AR29" s="2305"/>
      <c r="AS29" s="2305"/>
      <c r="AT29" s="2305"/>
      <c r="AU29" s="2305"/>
      <c r="AV29" s="2305"/>
      <c r="AW29" s="2305"/>
      <c r="AX29" s="2305"/>
      <c r="AY29" s="2305"/>
      <c r="AZ29" s="2305"/>
      <c r="BA29" s="2305"/>
      <c r="BB29" s="2305"/>
      <c r="BC29" s="2305"/>
      <c r="BD29" s="2305"/>
      <c r="BE29" s="2305"/>
      <c r="BF29" s="2305"/>
      <c r="BG29" s="2305"/>
      <c r="BH29" s="2305"/>
      <c r="BI29" s="2305"/>
      <c r="BJ29" s="2305"/>
      <c r="BK29" s="2305"/>
      <c r="BL29" s="2305"/>
      <c r="BM29" s="2305"/>
      <c r="BN29" s="2305"/>
      <c r="BO29" s="2305"/>
      <c r="BP29" s="2305"/>
      <c r="BQ29" s="2305"/>
      <c r="BR29" s="2305"/>
      <c r="BS29" s="2305"/>
      <c r="BT29" s="2305"/>
      <c r="BU29" s="2305"/>
      <c r="BV29" s="2305"/>
      <c r="BW29" s="2305"/>
    </row>
    <row r="30" spans="1:76" s="610" customFormat="1" ht="19.5" hidden="1" customHeight="1" x14ac:dyDescent="0.2">
      <c r="A30" s="3565"/>
      <c r="B30" s="2307" t="s">
        <v>12</v>
      </c>
      <c r="C30" s="3583" t="s">
        <v>127</v>
      </c>
      <c r="D30" s="2308">
        <f t="shared" ref="D30:H30" si="24">+D31</f>
        <v>0</v>
      </c>
      <c r="E30" s="2309">
        <f t="shared" si="24"/>
        <v>0</v>
      </c>
      <c r="F30" s="2309">
        <f t="shared" si="24"/>
        <v>0</v>
      </c>
      <c r="G30" s="2309">
        <f t="shared" si="24"/>
        <v>0</v>
      </c>
      <c r="H30" s="2310">
        <f t="shared" si="24"/>
        <v>0</v>
      </c>
      <c r="I30" s="2308"/>
      <c r="J30" s="2309"/>
      <c r="K30" s="2309"/>
      <c r="L30" s="2309"/>
      <c r="M30" s="2309">
        <f t="shared" si="22"/>
        <v>0</v>
      </c>
      <c r="N30" s="3581"/>
      <c r="O30" s="1983"/>
      <c r="P30" s="1468"/>
      <c r="Q30" s="1468"/>
      <c r="R30" s="1468"/>
      <c r="S30" s="1468"/>
      <c r="T30" s="1468"/>
      <c r="U30" s="1468"/>
      <c r="V30" s="1468"/>
      <c r="W30" s="1468"/>
      <c r="X30" s="1468"/>
      <c r="Y30" s="1468"/>
      <c r="Z30" s="1468"/>
      <c r="AA30" s="1468"/>
      <c r="AB30" s="1468"/>
      <c r="AC30" s="1468"/>
      <c r="AD30" s="1468"/>
      <c r="AE30" s="1468"/>
      <c r="AF30" s="1468"/>
      <c r="AG30" s="1468"/>
      <c r="AH30" s="1468"/>
      <c r="AI30" s="1468"/>
      <c r="AJ30" s="1468"/>
      <c r="AK30" s="1468"/>
      <c r="AL30" s="1468"/>
      <c r="AM30" s="1468"/>
      <c r="AN30" s="1468"/>
      <c r="AO30" s="1468"/>
      <c r="AP30" s="1468"/>
      <c r="AQ30" s="1468"/>
      <c r="AR30" s="1468"/>
      <c r="AS30" s="1468"/>
      <c r="AT30" s="1468"/>
      <c r="AU30" s="1468"/>
      <c r="AV30" s="1468"/>
      <c r="AW30" s="1468"/>
      <c r="AX30" s="1468"/>
      <c r="AY30" s="1468"/>
      <c r="AZ30" s="1468"/>
      <c r="BA30" s="1468"/>
      <c r="BB30" s="1468"/>
      <c r="BC30" s="1468"/>
      <c r="BD30" s="1468"/>
      <c r="BE30" s="1468"/>
      <c r="BF30" s="1468"/>
      <c r="BG30" s="1468"/>
      <c r="BH30" s="1468"/>
      <c r="BI30" s="1468"/>
      <c r="BJ30" s="1468"/>
      <c r="BK30" s="1468"/>
      <c r="BL30" s="1468"/>
      <c r="BM30" s="1468"/>
      <c r="BN30" s="1468"/>
      <c r="BO30" s="1468"/>
      <c r="BP30" s="1468"/>
      <c r="BQ30" s="1468"/>
      <c r="BR30" s="1468"/>
      <c r="BS30" s="1468"/>
      <c r="BT30" s="1468"/>
      <c r="BU30" s="1468"/>
      <c r="BV30" s="1468"/>
      <c r="BW30" s="1468"/>
    </row>
    <row r="31" spans="1:76" s="610" customFormat="1" ht="20.25" hidden="1" customHeight="1" thickBot="1" x14ac:dyDescent="0.25">
      <c r="A31" s="3566"/>
      <c r="B31" s="2311" t="s">
        <v>15</v>
      </c>
      <c r="C31" s="3584"/>
      <c r="D31" s="2312">
        <f>+E31+F31+G31+H31</f>
        <v>0</v>
      </c>
      <c r="E31" s="2313">
        <v>0</v>
      </c>
      <c r="F31" s="2313">
        <v>0</v>
      </c>
      <c r="G31" s="2313">
        <v>0</v>
      </c>
      <c r="H31" s="2314">
        <v>0</v>
      </c>
      <c r="I31" s="2312"/>
      <c r="J31" s="2313"/>
      <c r="K31" s="2313"/>
      <c r="L31" s="2313"/>
      <c r="M31" s="2313">
        <f t="shared" si="22"/>
        <v>0</v>
      </c>
      <c r="N31" s="3582"/>
      <c r="O31" s="1983"/>
      <c r="P31" s="1468"/>
      <c r="Q31" s="1468"/>
      <c r="R31" s="1468"/>
      <c r="S31" s="1468"/>
      <c r="T31" s="1468"/>
      <c r="U31" s="1468"/>
      <c r="V31" s="1468"/>
      <c r="W31" s="1468"/>
      <c r="X31" s="1468"/>
      <c r="Y31" s="1468"/>
      <c r="Z31" s="1468"/>
      <c r="AA31" s="1468"/>
      <c r="AB31" s="1468"/>
      <c r="AC31" s="1468"/>
      <c r="AD31" s="1468"/>
      <c r="AE31" s="1468"/>
      <c r="AF31" s="1468"/>
      <c r="AG31" s="1468"/>
      <c r="AH31" s="1468"/>
      <c r="AI31" s="1468"/>
      <c r="AJ31" s="1468"/>
      <c r="AK31" s="1468"/>
      <c r="AL31" s="1468"/>
      <c r="AM31" s="1468"/>
      <c r="AN31" s="1468"/>
      <c r="AO31" s="1468"/>
      <c r="AP31" s="1468"/>
      <c r="AQ31" s="1468"/>
      <c r="AR31" s="1468"/>
      <c r="AS31" s="1468"/>
      <c r="AT31" s="1468"/>
      <c r="AU31" s="1468"/>
      <c r="AV31" s="1468"/>
      <c r="AW31" s="1468"/>
      <c r="AX31" s="1468"/>
      <c r="AY31" s="1468"/>
      <c r="AZ31" s="1468"/>
      <c r="BA31" s="1468"/>
      <c r="BB31" s="1468"/>
      <c r="BC31" s="1468"/>
      <c r="BD31" s="1468"/>
      <c r="BE31" s="1468"/>
      <c r="BF31" s="1468"/>
      <c r="BG31" s="1468"/>
      <c r="BH31" s="1468"/>
      <c r="BI31" s="1468"/>
      <c r="BJ31" s="1468"/>
      <c r="BK31" s="1468"/>
      <c r="BL31" s="1468"/>
      <c r="BM31" s="1468"/>
      <c r="BN31" s="1468"/>
      <c r="BO31" s="1468"/>
      <c r="BP31" s="1468"/>
      <c r="BQ31" s="1468"/>
      <c r="BR31" s="1468"/>
      <c r="BS31" s="1468"/>
      <c r="BT31" s="1468"/>
      <c r="BU31" s="1468"/>
      <c r="BV31" s="1468"/>
      <c r="BW31" s="1468"/>
    </row>
    <row r="32" spans="1:76" s="610" customFormat="1" ht="57.75" customHeight="1" x14ac:dyDescent="0.2">
      <c r="A32" s="3550" t="s">
        <v>35</v>
      </c>
      <c r="B32" s="2026" t="s">
        <v>153</v>
      </c>
      <c r="C32" s="2315" t="s">
        <v>204</v>
      </c>
      <c r="D32" s="2288"/>
      <c r="E32" s="2290"/>
      <c r="F32" s="2290"/>
      <c r="G32" s="2290"/>
      <c r="H32" s="2316"/>
      <c r="I32" s="2288"/>
      <c r="J32" s="1517"/>
      <c r="K32" s="1515"/>
      <c r="L32" s="1517"/>
      <c r="M32" s="1515"/>
      <c r="N32" s="3575" t="s">
        <v>154</v>
      </c>
      <c r="O32" s="1983"/>
      <c r="P32" s="1468"/>
      <c r="Q32" s="1468"/>
      <c r="R32" s="1468"/>
      <c r="S32" s="1468"/>
      <c r="T32" s="1468"/>
      <c r="U32" s="1468"/>
      <c r="V32" s="1468"/>
      <c r="W32" s="1468"/>
      <c r="X32" s="1468"/>
      <c r="Y32" s="1468"/>
      <c r="Z32" s="1468"/>
      <c r="AA32" s="1468"/>
      <c r="AB32" s="1468"/>
      <c r="AC32" s="1468"/>
      <c r="AD32" s="1468"/>
      <c r="AE32" s="1468"/>
      <c r="AF32" s="1468"/>
      <c r="AG32" s="1468"/>
      <c r="AH32" s="1468"/>
      <c r="AI32" s="1468"/>
      <c r="AJ32" s="1468"/>
      <c r="AK32" s="1468"/>
      <c r="AL32" s="1468"/>
      <c r="AM32" s="1468"/>
      <c r="AN32" s="1468"/>
      <c r="AO32" s="1468"/>
      <c r="AP32" s="1468"/>
      <c r="AQ32" s="1468"/>
      <c r="AR32" s="1468"/>
      <c r="AS32" s="1468"/>
      <c r="AT32" s="1468"/>
      <c r="AU32" s="1468"/>
      <c r="AV32" s="1468"/>
      <c r="AW32" s="1468"/>
      <c r="AX32" s="1468"/>
      <c r="AY32" s="1468"/>
      <c r="AZ32" s="1468"/>
      <c r="BA32" s="1468"/>
      <c r="BB32" s="1468"/>
      <c r="BC32" s="1468"/>
      <c r="BD32" s="1468"/>
      <c r="BE32" s="1468"/>
      <c r="BF32" s="1468"/>
      <c r="BG32" s="1468"/>
      <c r="BH32" s="1468"/>
      <c r="BI32" s="1468"/>
      <c r="BJ32" s="1468"/>
      <c r="BK32" s="1468"/>
      <c r="BL32" s="1468"/>
      <c r="BM32" s="1468"/>
      <c r="BN32" s="1468"/>
      <c r="BO32" s="1468"/>
      <c r="BP32" s="1468"/>
      <c r="BQ32" s="1468"/>
      <c r="BR32" s="1468"/>
      <c r="BS32" s="1468"/>
      <c r="BT32" s="1468"/>
      <c r="BU32" s="1468"/>
      <c r="BV32" s="1468"/>
      <c r="BW32" s="1468"/>
    </row>
    <row r="33" spans="1:76" s="610" customFormat="1" ht="13.5" customHeight="1" x14ac:dyDescent="0.2">
      <c r="A33" s="3551"/>
      <c r="B33" s="220" t="s">
        <v>2</v>
      </c>
      <c r="C33" s="2317"/>
      <c r="D33" s="1908">
        <f>+D34+D37</f>
        <v>24586981</v>
      </c>
      <c r="E33" s="1797">
        <f>+E34+E37</f>
        <v>7316195</v>
      </c>
      <c r="F33" s="1797">
        <f>F34+F37</f>
        <v>5941724</v>
      </c>
      <c r="G33" s="1797">
        <f>+G34+G37</f>
        <v>11329062</v>
      </c>
      <c r="H33" s="2279">
        <f>+H34+H37</f>
        <v>0</v>
      </c>
      <c r="I33" s="1908">
        <f>K33+E33+F33+2160-121452</f>
        <v>14946765</v>
      </c>
      <c r="J33" s="1926">
        <f t="shared" ref="J33:J43" si="25">I33/D33*100</f>
        <v>60.791379795673159</v>
      </c>
      <c r="K33" s="1675">
        <f>+K34+K37</f>
        <v>1808138</v>
      </c>
      <c r="L33" s="1926">
        <f>K33/G33*100</f>
        <v>15.96017393143404</v>
      </c>
      <c r="M33" s="1675">
        <f t="shared" ref="M33:M43" si="26">+K33-G33</f>
        <v>-9520924</v>
      </c>
      <c r="N33" s="3576"/>
      <c r="O33" s="1983"/>
      <c r="P33" s="1468"/>
      <c r="Q33" s="1468"/>
      <c r="R33" s="1468"/>
      <c r="S33" s="1468"/>
      <c r="T33" s="1468"/>
      <c r="U33" s="1468"/>
      <c r="V33" s="1468"/>
      <c r="W33" s="1468"/>
      <c r="X33" s="1468"/>
      <c r="Y33" s="1468"/>
      <c r="Z33" s="1468"/>
      <c r="AA33" s="1468"/>
      <c r="AB33" s="1468"/>
      <c r="AC33" s="1468"/>
      <c r="AD33" s="1468"/>
      <c r="AE33" s="1468"/>
      <c r="AF33" s="1468"/>
      <c r="AG33" s="1468"/>
      <c r="AH33" s="1468"/>
      <c r="AI33" s="1468"/>
      <c r="AJ33" s="1468"/>
      <c r="AK33" s="1468"/>
      <c r="AL33" s="1468"/>
      <c r="AM33" s="1468"/>
      <c r="AN33" s="1468"/>
      <c r="AO33" s="1468"/>
      <c r="AP33" s="1468"/>
      <c r="AQ33" s="1468"/>
      <c r="AR33" s="1468"/>
      <c r="AS33" s="1468"/>
      <c r="AT33" s="1468"/>
      <c r="AU33" s="1468"/>
      <c r="AV33" s="1468"/>
      <c r="AW33" s="1468"/>
      <c r="AX33" s="1468"/>
      <c r="AY33" s="1468"/>
      <c r="AZ33" s="1468"/>
      <c r="BA33" s="1468"/>
      <c r="BB33" s="1468"/>
      <c r="BC33" s="1468"/>
      <c r="BD33" s="1468"/>
      <c r="BE33" s="1468"/>
      <c r="BF33" s="1468"/>
      <c r="BG33" s="1468"/>
      <c r="BH33" s="1468"/>
      <c r="BI33" s="1468"/>
      <c r="BJ33" s="1468"/>
      <c r="BK33" s="1468"/>
      <c r="BL33" s="1468"/>
      <c r="BM33" s="1468"/>
      <c r="BN33" s="1468"/>
      <c r="BO33" s="1468"/>
      <c r="BP33" s="1468"/>
      <c r="BQ33" s="1468"/>
      <c r="BR33" s="1468"/>
      <c r="BS33" s="1468"/>
      <c r="BT33" s="1468"/>
      <c r="BU33" s="1468"/>
      <c r="BV33" s="1468"/>
      <c r="BW33" s="1468"/>
    </row>
    <row r="34" spans="1:76" s="610" customFormat="1" ht="13.5" customHeight="1" x14ac:dyDescent="0.2">
      <c r="A34" s="3551"/>
      <c r="B34" s="242" t="s">
        <v>17</v>
      </c>
      <c r="C34" s="3325" t="s">
        <v>152</v>
      </c>
      <c r="D34" s="1544">
        <f t="shared" ref="D34" si="27">D36+D35</f>
        <v>9895023</v>
      </c>
      <c r="E34" s="1545">
        <f>E36+E35</f>
        <v>3162433</v>
      </c>
      <c r="F34" s="1545">
        <f>F36+F35</f>
        <v>2311492</v>
      </c>
      <c r="G34" s="1545">
        <f t="shared" ref="G34:H34" si="28">G36+G35</f>
        <v>4421098</v>
      </c>
      <c r="H34" s="1651">
        <f t="shared" si="28"/>
        <v>0</v>
      </c>
      <c r="I34" s="1544">
        <f>K34+E34+F34+2160</f>
        <v>6468398</v>
      </c>
      <c r="J34" s="1594">
        <f t="shared" si="25"/>
        <v>65.370216926226448</v>
      </c>
      <c r="K34" s="1948">
        <f>K36+K35</f>
        <v>992313</v>
      </c>
      <c r="L34" s="1594">
        <f>K34/G34*100</f>
        <v>22.444944672115387</v>
      </c>
      <c r="M34" s="1948">
        <f t="shared" si="26"/>
        <v>-3428785</v>
      </c>
      <c r="N34" s="3576"/>
      <c r="O34" s="1983"/>
      <c r="P34" s="1468"/>
      <c r="Q34" s="1468"/>
      <c r="R34" s="1468"/>
      <c r="S34" s="1468"/>
      <c r="T34" s="1468"/>
      <c r="U34" s="1468"/>
      <c r="V34" s="1468"/>
      <c r="W34" s="1468"/>
      <c r="X34" s="1468"/>
      <c r="Y34" s="1468"/>
      <c r="Z34" s="1468"/>
      <c r="AA34" s="1468"/>
      <c r="AB34" s="1468"/>
      <c r="AC34" s="1468"/>
      <c r="AD34" s="1468"/>
      <c r="AE34" s="1468"/>
      <c r="AF34" s="1468"/>
      <c r="AG34" s="1468"/>
      <c r="AH34" s="1468"/>
      <c r="AI34" s="1468"/>
      <c r="AJ34" s="1468"/>
      <c r="AK34" s="1468"/>
      <c r="AL34" s="1468"/>
      <c r="AM34" s="1468"/>
      <c r="AN34" s="1468"/>
      <c r="AO34" s="1468"/>
      <c r="AP34" s="1468"/>
      <c r="AQ34" s="1468"/>
      <c r="AR34" s="1468"/>
      <c r="AS34" s="1468"/>
      <c r="AT34" s="1468"/>
      <c r="AU34" s="1468"/>
      <c r="AV34" s="1468"/>
      <c r="AW34" s="1468"/>
      <c r="AX34" s="1468"/>
      <c r="AY34" s="1468"/>
      <c r="AZ34" s="1468"/>
      <c r="BA34" s="1468"/>
      <c r="BB34" s="1468"/>
      <c r="BC34" s="1468"/>
      <c r="BD34" s="1468"/>
      <c r="BE34" s="1468"/>
      <c r="BF34" s="1468"/>
      <c r="BG34" s="1468"/>
      <c r="BH34" s="1468"/>
      <c r="BI34" s="1468"/>
      <c r="BJ34" s="1468"/>
      <c r="BK34" s="1468"/>
      <c r="BL34" s="1468"/>
      <c r="BM34" s="1468"/>
      <c r="BN34" s="1468"/>
      <c r="BO34" s="1468"/>
      <c r="BP34" s="1468"/>
      <c r="BQ34" s="1468"/>
      <c r="BR34" s="1468"/>
      <c r="BS34" s="1468"/>
      <c r="BT34" s="1468"/>
      <c r="BU34" s="1468"/>
      <c r="BV34" s="1468"/>
      <c r="BW34" s="1468"/>
    </row>
    <row r="35" spans="1:76" s="610" customFormat="1" ht="13.5" customHeight="1" x14ac:dyDescent="0.2">
      <c r="A35" s="3551"/>
      <c r="B35" s="2318" t="s">
        <v>6</v>
      </c>
      <c r="C35" s="3325"/>
      <c r="D35" s="1535">
        <f>+E35+F35+G35+H35</f>
        <v>585072</v>
      </c>
      <c r="E35" s="1536">
        <f>27616+211482+59610+4388</f>
        <v>303096</v>
      </c>
      <c r="F35" s="1536">
        <v>6328</v>
      </c>
      <c r="G35" s="1536">
        <v>275648</v>
      </c>
      <c r="H35" s="1536">
        <v>0</v>
      </c>
      <c r="I35" s="2319">
        <f>K35+E35+F35+2160</f>
        <v>314670</v>
      </c>
      <c r="J35" s="1630">
        <f t="shared" si="25"/>
        <v>53.783124128312409</v>
      </c>
      <c r="K35" s="1589">
        <v>3086</v>
      </c>
      <c r="L35" s="1588">
        <f t="shared" ref="L35:L42" si="29">K35/G35*100</f>
        <v>1.1195437659623868</v>
      </c>
      <c r="M35" s="1589">
        <f t="shared" si="26"/>
        <v>-272562</v>
      </c>
      <c r="N35" s="3576"/>
      <c r="O35" s="1983"/>
      <c r="P35" s="1468"/>
      <c r="Q35" s="1468"/>
      <c r="R35" s="1468"/>
      <c r="S35" s="1468"/>
      <c r="T35" s="1468"/>
      <c r="U35" s="1468"/>
      <c r="V35" s="1468"/>
      <c r="W35" s="1468"/>
      <c r="X35" s="1468"/>
      <c r="Y35" s="1468"/>
      <c r="Z35" s="1468"/>
      <c r="AA35" s="1468"/>
      <c r="AB35" s="1468"/>
      <c r="AC35" s="1468"/>
      <c r="AD35" s="1468"/>
      <c r="AE35" s="1468"/>
      <c r="AF35" s="1468"/>
      <c r="AG35" s="1468"/>
      <c r="AH35" s="1468"/>
      <c r="AI35" s="1468"/>
      <c r="AJ35" s="1468"/>
      <c r="AK35" s="1468"/>
      <c r="AL35" s="1468"/>
      <c r="AM35" s="1468"/>
      <c r="AN35" s="1468"/>
      <c r="AO35" s="1468"/>
      <c r="AP35" s="1468"/>
      <c r="AQ35" s="1468"/>
      <c r="AR35" s="1468"/>
      <c r="AS35" s="1468"/>
      <c r="AT35" s="1468"/>
      <c r="AU35" s="1468"/>
      <c r="AV35" s="1468"/>
      <c r="AW35" s="1468"/>
      <c r="AX35" s="1468"/>
      <c r="AY35" s="1468"/>
      <c r="AZ35" s="1468"/>
      <c r="BA35" s="1468"/>
      <c r="BB35" s="1468"/>
      <c r="BC35" s="1468"/>
      <c r="BD35" s="1468"/>
      <c r="BE35" s="1468"/>
      <c r="BF35" s="1468"/>
      <c r="BG35" s="1468"/>
      <c r="BH35" s="1468"/>
      <c r="BI35" s="1468"/>
      <c r="BJ35" s="1468"/>
      <c r="BK35" s="1468"/>
      <c r="BL35" s="1468"/>
      <c r="BM35" s="1468"/>
      <c r="BN35" s="1468"/>
      <c r="BO35" s="1468"/>
      <c r="BP35" s="1468"/>
      <c r="BQ35" s="1468"/>
      <c r="BR35" s="1468"/>
      <c r="BS35" s="1468"/>
      <c r="BT35" s="1468"/>
      <c r="BU35" s="1468"/>
      <c r="BV35" s="1468"/>
      <c r="BW35" s="1468"/>
    </row>
    <row r="36" spans="1:76" s="610" customFormat="1" ht="13.5" customHeight="1" x14ac:dyDescent="0.2">
      <c r="A36" s="3551"/>
      <c r="B36" s="2318" t="s">
        <v>5</v>
      </c>
      <c r="C36" s="3578"/>
      <c r="D36" s="1535">
        <f>+E36+F36+G36+H36</f>
        <v>9309951</v>
      </c>
      <c r="E36" s="1536">
        <f>190000+56315+195000+2418022</f>
        <v>2859337</v>
      </c>
      <c r="F36" s="1536">
        <v>2305164</v>
      </c>
      <c r="G36" s="1536">
        <v>4145450</v>
      </c>
      <c r="H36" s="1536">
        <v>0</v>
      </c>
      <c r="I36" s="1535">
        <f t="shared" ref="I36:I91" si="30">K36+E36+F36</f>
        <v>6153728</v>
      </c>
      <c r="J36" s="1588">
        <f t="shared" si="25"/>
        <v>66.098392999060891</v>
      </c>
      <c r="K36" s="1589">
        <v>989227</v>
      </c>
      <c r="L36" s="1588">
        <f t="shared" si="29"/>
        <v>23.862958183068184</v>
      </c>
      <c r="M36" s="1589">
        <f t="shared" si="26"/>
        <v>-3156223</v>
      </c>
      <c r="N36" s="3576"/>
      <c r="O36" s="1983"/>
      <c r="P36" s="1468"/>
      <c r="Q36" s="1468"/>
      <c r="R36" s="1468"/>
      <c r="S36" s="1468"/>
      <c r="T36" s="1468"/>
      <c r="U36" s="1468"/>
      <c r="V36" s="1468"/>
      <c r="W36" s="1468"/>
      <c r="X36" s="1468"/>
      <c r="Y36" s="1468"/>
      <c r="Z36" s="1468"/>
      <c r="AA36" s="1468"/>
      <c r="AB36" s="1468"/>
      <c r="AC36" s="1468"/>
      <c r="AD36" s="1468"/>
      <c r="AE36" s="1468"/>
      <c r="AF36" s="1468"/>
      <c r="AG36" s="1468"/>
      <c r="AH36" s="1468"/>
      <c r="AI36" s="1468"/>
      <c r="AJ36" s="1468"/>
      <c r="AK36" s="1468"/>
      <c r="AL36" s="1468"/>
      <c r="AM36" s="1468"/>
      <c r="AN36" s="1468"/>
      <c r="AO36" s="1468"/>
      <c r="AP36" s="1468"/>
      <c r="AQ36" s="1468"/>
      <c r="AR36" s="1468"/>
      <c r="AS36" s="1468"/>
      <c r="AT36" s="1468"/>
      <c r="AU36" s="1468"/>
      <c r="AV36" s="1468"/>
      <c r="AW36" s="1468"/>
      <c r="AX36" s="1468"/>
      <c r="AY36" s="1468"/>
      <c r="AZ36" s="1468"/>
      <c r="BA36" s="1468"/>
      <c r="BB36" s="1468"/>
      <c r="BC36" s="1468"/>
      <c r="BD36" s="1468"/>
      <c r="BE36" s="1468"/>
      <c r="BF36" s="1468"/>
      <c r="BG36" s="1468"/>
      <c r="BH36" s="1468"/>
      <c r="BI36" s="1468"/>
      <c r="BJ36" s="1468"/>
      <c r="BK36" s="1468"/>
      <c r="BL36" s="1468"/>
      <c r="BM36" s="1468"/>
      <c r="BN36" s="1468"/>
      <c r="BO36" s="1468"/>
      <c r="BP36" s="1468"/>
      <c r="BQ36" s="1468"/>
      <c r="BR36" s="1468"/>
      <c r="BS36" s="1468"/>
      <c r="BT36" s="1468"/>
      <c r="BU36" s="1468"/>
      <c r="BV36" s="1468"/>
      <c r="BW36" s="1468"/>
    </row>
    <row r="37" spans="1:76" s="610" customFormat="1" ht="13.5" customHeight="1" x14ac:dyDescent="0.2">
      <c r="A37" s="3551"/>
      <c r="B37" s="253" t="s">
        <v>12</v>
      </c>
      <c r="C37" s="3578"/>
      <c r="D37" s="1544">
        <f t="shared" ref="D37:H37" si="31">+D38</f>
        <v>14691958</v>
      </c>
      <c r="E37" s="1545">
        <f t="shared" si="31"/>
        <v>4153762</v>
      </c>
      <c r="F37" s="1545">
        <f t="shared" si="31"/>
        <v>3630232</v>
      </c>
      <c r="G37" s="1545">
        <f t="shared" si="31"/>
        <v>6907964</v>
      </c>
      <c r="H37" s="1651">
        <f t="shared" si="31"/>
        <v>0</v>
      </c>
      <c r="I37" s="1544">
        <f>K37+E37+F37-121452</f>
        <v>8478367</v>
      </c>
      <c r="J37" s="1594">
        <f t="shared" si="25"/>
        <v>57.707536327016449</v>
      </c>
      <c r="K37" s="1948">
        <f>+K38</f>
        <v>815825</v>
      </c>
      <c r="L37" s="1594">
        <f t="shared" si="29"/>
        <v>11.809919681110092</v>
      </c>
      <c r="M37" s="1948">
        <f t="shared" si="26"/>
        <v>-6092139</v>
      </c>
      <c r="N37" s="3576"/>
      <c r="O37" s="1983"/>
      <c r="P37" s="1468"/>
      <c r="Q37" s="1468"/>
      <c r="R37" s="1468"/>
      <c r="S37" s="1468"/>
      <c r="T37" s="1468"/>
      <c r="U37" s="1468"/>
      <c r="V37" s="1468"/>
      <c r="W37" s="1468"/>
      <c r="X37" s="1468"/>
      <c r="Y37" s="1468"/>
      <c r="Z37" s="1468"/>
      <c r="AA37" s="1468"/>
      <c r="AB37" s="1468"/>
      <c r="AC37" s="1468"/>
      <c r="AD37" s="1468"/>
      <c r="AE37" s="1468"/>
      <c r="AF37" s="1468"/>
      <c r="AG37" s="1468"/>
      <c r="AH37" s="1468"/>
      <c r="AI37" s="1468"/>
      <c r="AJ37" s="1468"/>
      <c r="AK37" s="1468"/>
      <c r="AL37" s="1468"/>
      <c r="AM37" s="1468"/>
      <c r="AN37" s="1468"/>
      <c r="AO37" s="1468"/>
      <c r="AP37" s="1468"/>
      <c r="AQ37" s="1468"/>
      <c r="AR37" s="1468"/>
      <c r="AS37" s="1468"/>
      <c r="AT37" s="1468"/>
      <c r="AU37" s="1468"/>
      <c r="AV37" s="1468"/>
      <c r="AW37" s="1468"/>
      <c r="AX37" s="1468"/>
      <c r="AY37" s="1468"/>
      <c r="AZ37" s="1468"/>
      <c r="BA37" s="1468"/>
      <c r="BB37" s="1468"/>
      <c r="BC37" s="1468"/>
      <c r="BD37" s="1468"/>
      <c r="BE37" s="1468"/>
      <c r="BF37" s="1468"/>
      <c r="BG37" s="1468"/>
      <c r="BH37" s="1468"/>
      <c r="BI37" s="1468"/>
      <c r="BJ37" s="1468"/>
      <c r="BK37" s="1468"/>
      <c r="BL37" s="1468"/>
      <c r="BM37" s="1468"/>
      <c r="BN37" s="1468"/>
      <c r="BO37" s="1468"/>
      <c r="BP37" s="1468"/>
      <c r="BQ37" s="1468"/>
      <c r="BR37" s="1468"/>
      <c r="BS37" s="1468"/>
      <c r="BT37" s="1468"/>
      <c r="BU37" s="1468"/>
      <c r="BV37" s="1468"/>
      <c r="BW37" s="1468"/>
    </row>
    <row r="38" spans="1:76" s="610" customFormat="1" ht="12.75" x14ac:dyDescent="0.2">
      <c r="A38" s="3551"/>
      <c r="B38" s="2320" t="s">
        <v>15</v>
      </c>
      <c r="C38" s="3578"/>
      <c r="D38" s="1535">
        <f>+E38+F38+G38+H38</f>
        <v>14691958</v>
      </c>
      <c r="E38" s="1536">
        <v>4153762</v>
      </c>
      <c r="F38" s="1536">
        <v>3630232</v>
      </c>
      <c r="G38" s="1536">
        <v>6907964</v>
      </c>
      <c r="H38" s="1628">
        <v>0</v>
      </c>
      <c r="I38" s="1535">
        <f>K38+E38+F38-121452</f>
        <v>8478367</v>
      </c>
      <c r="J38" s="1588">
        <f t="shared" si="25"/>
        <v>57.707536327016449</v>
      </c>
      <c r="K38" s="2321">
        <v>815825</v>
      </c>
      <c r="L38" s="1588">
        <f t="shared" si="29"/>
        <v>11.809919681110092</v>
      </c>
      <c r="M38" s="1589">
        <f t="shared" si="26"/>
        <v>-6092139</v>
      </c>
      <c r="N38" s="3576"/>
      <c r="O38" s="1983"/>
      <c r="P38" s="1468"/>
      <c r="Q38" s="1468"/>
      <c r="R38" s="1468"/>
      <c r="S38" s="1468"/>
      <c r="T38" s="1468"/>
      <c r="U38" s="1468"/>
      <c r="V38" s="1468"/>
      <c r="W38" s="1468"/>
      <c r="X38" s="1468"/>
      <c r="Y38" s="1468"/>
      <c r="Z38" s="1468"/>
      <c r="AA38" s="1468"/>
      <c r="AB38" s="1468"/>
      <c r="AC38" s="1468"/>
      <c r="AD38" s="1468"/>
      <c r="AE38" s="1468"/>
      <c r="AF38" s="1468"/>
      <c r="AG38" s="1468"/>
      <c r="AH38" s="1468"/>
      <c r="AI38" s="1468"/>
      <c r="AJ38" s="1468"/>
      <c r="AK38" s="1468"/>
      <c r="AL38" s="1468"/>
      <c r="AM38" s="1468"/>
      <c r="AN38" s="1468"/>
      <c r="AO38" s="1468"/>
      <c r="AP38" s="1468"/>
      <c r="AQ38" s="1468"/>
      <c r="AR38" s="1468"/>
      <c r="AS38" s="1468"/>
      <c r="AT38" s="1468"/>
      <c r="AU38" s="1468"/>
      <c r="AV38" s="1468"/>
      <c r="AW38" s="1468"/>
      <c r="AX38" s="1468"/>
      <c r="AY38" s="1468"/>
      <c r="AZ38" s="1468"/>
      <c r="BA38" s="1468"/>
      <c r="BB38" s="1468"/>
      <c r="BC38" s="1468"/>
      <c r="BD38" s="1468"/>
      <c r="BE38" s="1468"/>
      <c r="BF38" s="1468"/>
      <c r="BG38" s="1468"/>
      <c r="BH38" s="1468"/>
      <c r="BI38" s="1468"/>
      <c r="BJ38" s="1468"/>
      <c r="BK38" s="1468"/>
      <c r="BL38" s="1468"/>
      <c r="BM38" s="1468"/>
      <c r="BN38" s="1468"/>
      <c r="BO38" s="1468"/>
      <c r="BP38" s="1468"/>
      <c r="BQ38" s="1468"/>
      <c r="BR38" s="1468"/>
      <c r="BS38" s="1468"/>
      <c r="BT38" s="1468"/>
      <c r="BU38" s="1468"/>
      <c r="BV38" s="1468"/>
      <c r="BW38" s="1468"/>
    </row>
    <row r="39" spans="1:76" s="2306" customFormat="1" ht="14.1" customHeight="1" x14ac:dyDescent="0.2">
      <c r="A39" s="3551"/>
      <c r="B39" s="220" t="s">
        <v>16</v>
      </c>
      <c r="C39" s="2322"/>
      <c r="D39" s="1908">
        <f>D42+D40</f>
        <v>19037923</v>
      </c>
      <c r="E39" s="1797">
        <f>E42+E40</f>
        <v>6370013</v>
      </c>
      <c r="F39" s="1797">
        <f>F42+F40</f>
        <v>4223167</v>
      </c>
      <c r="G39" s="1797">
        <f>G42+G40</f>
        <v>8444743</v>
      </c>
      <c r="H39" s="2279">
        <f>H42+H40</f>
        <v>0</v>
      </c>
      <c r="I39" s="1908">
        <f>K39+E39+F39-529</f>
        <v>12283752</v>
      </c>
      <c r="J39" s="1926">
        <f t="shared" si="25"/>
        <v>64.522542716450744</v>
      </c>
      <c r="K39" s="1797">
        <f>K42+K40</f>
        <v>1691101</v>
      </c>
      <c r="L39" s="1926">
        <f t="shared" si="29"/>
        <v>20.025488046231839</v>
      </c>
      <c r="M39" s="1675">
        <f t="shared" si="26"/>
        <v>-6753642</v>
      </c>
      <c r="N39" s="3576"/>
      <c r="O39" s="1983"/>
      <c r="P39" s="2305"/>
      <c r="Q39" s="2305"/>
      <c r="R39" s="2305"/>
      <c r="S39" s="2305"/>
      <c r="T39" s="2305"/>
      <c r="U39" s="2305"/>
      <c r="V39" s="2305"/>
      <c r="W39" s="2305"/>
      <c r="X39" s="2305"/>
      <c r="Y39" s="2305"/>
      <c r="Z39" s="2305"/>
      <c r="AA39" s="2305"/>
      <c r="AB39" s="2305"/>
      <c r="AC39" s="2305"/>
      <c r="AD39" s="2305"/>
      <c r="AE39" s="2305"/>
      <c r="AF39" s="2305"/>
      <c r="AG39" s="2305"/>
      <c r="AH39" s="2305"/>
      <c r="AI39" s="2305"/>
      <c r="AJ39" s="2305"/>
      <c r="AK39" s="2305"/>
      <c r="AL39" s="2305"/>
      <c r="AM39" s="2305"/>
      <c r="AN39" s="2305"/>
      <c r="AO39" s="2305"/>
      <c r="AP39" s="2305"/>
      <c r="AQ39" s="2305"/>
      <c r="AR39" s="2305"/>
      <c r="AS39" s="2305"/>
      <c r="AT39" s="2305"/>
      <c r="AU39" s="2305"/>
      <c r="AV39" s="2305"/>
      <c r="AW39" s="2305"/>
      <c r="AX39" s="2305"/>
      <c r="AY39" s="2305"/>
      <c r="AZ39" s="2305"/>
      <c r="BA39" s="2305"/>
      <c r="BB39" s="2305"/>
      <c r="BC39" s="2305"/>
      <c r="BD39" s="2305"/>
      <c r="BE39" s="2305"/>
      <c r="BF39" s="2305"/>
      <c r="BG39" s="2305"/>
      <c r="BH39" s="2305"/>
      <c r="BI39" s="2305"/>
      <c r="BJ39" s="2305"/>
      <c r="BK39" s="2305"/>
      <c r="BL39" s="2305"/>
      <c r="BM39" s="2305"/>
      <c r="BN39" s="2305"/>
      <c r="BO39" s="2305"/>
      <c r="BP39" s="2305"/>
      <c r="BQ39" s="2305"/>
      <c r="BR39" s="2305"/>
      <c r="BS39" s="2305"/>
      <c r="BT39" s="2305"/>
      <c r="BU39" s="2305"/>
      <c r="BV39" s="2305"/>
      <c r="BW39" s="2305"/>
    </row>
    <row r="40" spans="1:76" s="2306" customFormat="1" ht="14.1" customHeight="1" x14ac:dyDescent="0.2">
      <c r="A40" s="3551"/>
      <c r="B40" s="242" t="s">
        <v>17</v>
      </c>
      <c r="C40" s="2323"/>
      <c r="D40" s="2324">
        <f t="shared" ref="D40:H40" si="32">+D41</f>
        <v>4345965</v>
      </c>
      <c r="E40" s="2325">
        <f t="shared" si="32"/>
        <v>379212</v>
      </c>
      <c r="F40" s="2325">
        <f t="shared" si="32"/>
        <v>1552364</v>
      </c>
      <c r="G40" s="2325">
        <f t="shared" si="32"/>
        <v>2414389</v>
      </c>
      <c r="H40" s="2326">
        <f t="shared" si="32"/>
        <v>0</v>
      </c>
      <c r="I40" s="2324">
        <f t="shared" si="30"/>
        <v>2471479</v>
      </c>
      <c r="J40" s="2327">
        <f t="shared" si="25"/>
        <v>56.86835950128453</v>
      </c>
      <c r="K40" s="2328">
        <f>+K41</f>
        <v>539903</v>
      </c>
      <c r="L40" s="2327">
        <f t="shared" si="29"/>
        <v>22.361889488396443</v>
      </c>
      <c r="M40" s="2329">
        <f t="shared" si="26"/>
        <v>-1874486</v>
      </c>
      <c r="N40" s="3576"/>
      <c r="O40" s="1983"/>
      <c r="P40" s="2305"/>
      <c r="Q40" s="2305"/>
      <c r="R40" s="2305"/>
      <c r="S40" s="2305"/>
      <c r="T40" s="2305"/>
      <c r="U40" s="2305"/>
      <c r="V40" s="2305"/>
      <c r="W40" s="2305"/>
      <c r="X40" s="2305"/>
      <c r="Y40" s="2305"/>
      <c r="Z40" s="2305"/>
      <c r="AA40" s="2305"/>
      <c r="AB40" s="2305"/>
      <c r="AC40" s="2305"/>
      <c r="AD40" s="2305"/>
      <c r="AE40" s="2305"/>
      <c r="AF40" s="2305"/>
      <c r="AG40" s="2305"/>
      <c r="AH40" s="2305"/>
      <c r="AI40" s="2305"/>
      <c r="AJ40" s="2305"/>
      <c r="AK40" s="2305"/>
      <c r="AL40" s="2305"/>
      <c r="AM40" s="2305"/>
      <c r="AN40" s="2305"/>
      <c r="AO40" s="2305"/>
      <c r="AP40" s="2305"/>
      <c r="AQ40" s="2305"/>
      <c r="AR40" s="2305"/>
      <c r="AS40" s="2305"/>
      <c r="AT40" s="2305"/>
      <c r="AU40" s="2305"/>
      <c r="AV40" s="2305"/>
      <c r="AW40" s="2305"/>
      <c r="AX40" s="2305"/>
      <c r="AY40" s="2305"/>
      <c r="AZ40" s="2305"/>
      <c r="BA40" s="2305"/>
      <c r="BB40" s="2305"/>
      <c r="BC40" s="2305"/>
      <c r="BD40" s="2305"/>
      <c r="BE40" s="2305"/>
      <c r="BF40" s="2305"/>
      <c r="BG40" s="2305"/>
      <c r="BH40" s="2305"/>
      <c r="BI40" s="2305"/>
      <c r="BJ40" s="2305"/>
      <c r="BK40" s="2305"/>
      <c r="BL40" s="2305"/>
      <c r="BM40" s="2305"/>
      <c r="BN40" s="2305"/>
      <c r="BO40" s="2305"/>
      <c r="BP40" s="2305"/>
      <c r="BQ40" s="2305"/>
      <c r="BR40" s="2305"/>
      <c r="BS40" s="2305"/>
      <c r="BT40" s="2305"/>
      <c r="BU40" s="2305"/>
      <c r="BV40" s="2305"/>
      <c r="BW40" s="2305"/>
    </row>
    <row r="41" spans="1:76" s="2306" customFormat="1" ht="14.1" customHeight="1" x14ac:dyDescent="0.2">
      <c r="A41" s="3551"/>
      <c r="B41" s="2318" t="s">
        <v>150</v>
      </c>
      <c r="C41" s="2323"/>
      <c r="D41" s="2319">
        <f>+E41+F41+G41+H41</f>
        <v>4345965</v>
      </c>
      <c r="E41" s="1627">
        <v>379212</v>
      </c>
      <c r="F41" s="1627">
        <v>1552364</v>
      </c>
      <c r="G41" s="1627">
        <v>2414389</v>
      </c>
      <c r="H41" s="1650">
        <v>0</v>
      </c>
      <c r="I41" s="2319">
        <f>K41+E41+F41</f>
        <v>2471479</v>
      </c>
      <c r="J41" s="1630">
        <f t="shared" si="25"/>
        <v>56.86835950128453</v>
      </c>
      <c r="K41" s="2330">
        <v>539903</v>
      </c>
      <c r="L41" s="1630">
        <f t="shared" si="29"/>
        <v>22.361889488396443</v>
      </c>
      <c r="M41" s="1631">
        <f t="shared" si="26"/>
        <v>-1874486</v>
      </c>
      <c r="N41" s="3576"/>
      <c r="O41" s="1983"/>
      <c r="P41" s="2305"/>
      <c r="Q41" s="2305"/>
      <c r="R41" s="2305"/>
      <c r="S41" s="2305"/>
      <c r="T41" s="2305"/>
      <c r="U41" s="2305"/>
      <c r="V41" s="2305"/>
      <c r="W41" s="2305"/>
      <c r="X41" s="2305"/>
      <c r="Y41" s="2305"/>
      <c r="Z41" s="2305"/>
      <c r="AA41" s="2305"/>
      <c r="AB41" s="2305"/>
      <c r="AC41" s="2305"/>
      <c r="AD41" s="2305"/>
      <c r="AE41" s="2305"/>
      <c r="AF41" s="2305"/>
      <c r="AG41" s="2305"/>
      <c r="AH41" s="2305"/>
      <c r="AI41" s="2305"/>
      <c r="AJ41" s="2305"/>
      <c r="AK41" s="2305"/>
      <c r="AL41" s="2305"/>
      <c r="AM41" s="2305"/>
      <c r="AN41" s="2305"/>
      <c r="AO41" s="2305"/>
      <c r="AP41" s="2305"/>
      <c r="AQ41" s="2305"/>
      <c r="AR41" s="2305"/>
      <c r="AS41" s="2305"/>
      <c r="AT41" s="2305"/>
      <c r="AU41" s="2305"/>
      <c r="AV41" s="2305"/>
      <c r="AW41" s="2305"/>
      <c r="AX41" s="2305"/>
      <c r="AY41" s="2305"/>
      <c r="AZ41" s="2305"/>
      <c r="BA41" s="2305"/>
      <c r="BB41" s="2305"/>
      <c r="BC41" s="2305"/>
      <c r="BD41" s="2305"/>
      <c r="BE41" s="2305"/>
      <c r="BF41" s="2305"/>
      <c r="BG41" s="2305"/>
      <c r="BH41" s="2305"/>
      <c r="BI41" s="2305"/>
      <c r="BJ41" s="2305"/>
      <c r="BK41" s="2305"/>
      <c r="BL41" s="2305"/>
      <c r="BM41" s="2305"/>
      <c r="BN41" s="2305"/>
      <c r="BO41" s="2305"/>
      <c r="BP41" s="2305"/>
      <c r="BQ41" s="2305"/>
      <c r="BR41" s="2305"/>
      <c r="BS41" s="2305"/>
      <c r="BT41" s="2305"/>
      <c r="BU41" s="2305"/>
      <c r="BV41" s="2305"/>
      <c r="BW41" s="2305"/>
    </row>
    <row r="42" spans="1:76" s="610" customFormat="1" ht="12.75" customHeight="1" x14ac:dyDescent="0.2">
      <c r="A42" s="3551"/>
      <c r="B42" s="2331" t="s">
        <v>12</v>
      </c>
      <c r="C42" s="3325" t="s">
        <v>127</v>
      </c>
      <c r="D42" s="1544">
        <f>+D43</f>
        <v>14691958</v>
      </c>
      <c r="E42" s="1545">
        <f t="shared" ref="E42:F42" si="33">+E43</f>
        <v>5990801</v>
      </c>
      <c r="F42" s="1545">
        <f t="shared" si="33"/>
        <v>2670803</v>
      </c>
      <c r="G42" s="1545">
        <f>+G43</f>
        <v>6030354</v>
      </c>
      <c r="H42" s="1651">
        <f>+H43</f>
        <v>0</v>
      </c>
      <c r="I42" s="1544">
        <f>K42+E42+F42-529</f>
        <v>9812273</v>
      </c>
      <c r="J42" s="1594">
        <f t="shared" si="25"/>
        <v>66.786693781727394</v>
      </c>
      <c r="K42" s="2332">
        <f>+K43</f>
        <v>1151198</v>
      </c>
      <c r="L42" s="1594">
        <f t="shared" si="29"/>
        <v>19.090056736304369</v>
      </c>
      <c r="M42" s="1948">
        <f t="shared" si="26"/>
        <v>-4879156</v>
      </c>
      <c r="N42" s="3576"/>
      <c r="O42" s="1983"/>
      <c r="P42" s="1468"/>
      <c r="Q42" s="1468"/>
      <c r="R42" s="1468"/>
      <c r="S42" s="1468"/>
      <c r="T42" s="1468"/>
      <c r="U42" s="1468"/>
      <c r="V42" s="1468"/>
      <c r="W42" s="1468"/>
      <c r="X42" s="1468"/>
      <c r="Y42" s="1468"/>
      <c r="Z42" s="1468"/>
      <c r="AA42" s="1468"/>
      <c r="AB42" s="1468"/>
      <c r="AC42" s="1468"/>
      <c r="AD42" s="1468"/>
      <c r="AE42" s="1468"/>
      <c r="AF42" s="1468"/>
      <c r="AG42" s="1468"/>
      <c r="AH42" s="1468"/>
      <c r="AI42" s="1468"/>
      <c r="AJ42" s="1468"/>
      <c r="AK42" s="1468"/>
      <c r="AL42" s="1468"/>
      <c r="AM42" s="1468"/>
      <c r="AN42" s="1468"/>
      <c r="AO42" s="1468"/>
      <c r="AP42" s="1468"/>
      <c r="AQ42" s="1468"/>
      <c r="AR42" s="1468"/>
      <c r="AS42" s="1468"/>
      <c r="AT42" s="1468"/>
      <c r="AU42" s="1468"/>
      <c r="AV42" s="1468"/>
      <c r="AW42" s="1468"/>
      <c r="AX42" s="1468"/>
      <c r="AY42" s="1468"/>
      <c r="AZ42" s="1468"/>
      <c r="BA42" s="1468"/>
      <c r="BB42" s="1468"/>
      <c r="BC42" s="1468"/>
      <c r="BD42" s="1468"/>
      <c r="BE42" s="1468"/>
      <c r="BF42" s="1468"/>
      <c r="BG42" s="1468"/>
      <c r="BH42" s="1468"/>
      <c r="BI42" s="1468"/>
      <c r="BJ42" s="1468"/>
      <c r="BK42" s="1468"/>
      <c r="BL42" s="1468"/>
      <c r="BM42" s="1468"/>
      <c r="BN42" s="1468"/>
      <c r="BO42" s="1468"/>
      <c r="BP42" s="1468"/>
      <c r="BQ42" s="1468"/>
      <c r="BR42" s="1468"/>
      <c r="BS42" s="1468"/>
      <c r="BT42" s="1468"/>
      <c r="BU42" s="1468"/>
      <c r="BV42" s="1468"/>
      <c r="BW42" s="1468"/>
    </row>
    <row r="43" spans="1:76" s="610" customFormat="1" ht="15" customHeight="1" thickBot="1" x14ac:dyDescent="0.25">
      <c r="A43" s="3552"/>
      <c r="B43" s="2053" t="s">
        <v>15</v>
      </c>
      <c r="C43" s="3579"/>
      <c r="D43" s="1559">
        <f>+E43+F43+G43+H43</f>
        <v>14691958</v>
      </c>
      <c r="E43" s="1560">
        <v>5990801</v>
      </c>
      <c r="F43" s="1560">
        <v>2670803</v>
      </c>
      <c r="G43" s="1560">
        <v>6030354</v>
      </c>
      <c r="H43" s="1960">
        <v>0</v>
      </c>
      <c r="I43" s="1559">
        <f>K43+E43+F43-529</f>
        <v>9812273</v>
      </c>
      <c r="J43" s="1958">
        <f t="shared" si="25"/>
        <v>66.786693781727394</v>
      </c>
      <c r="K43" s="2333">
        <v>1151198</v>
      </c>
      <c r="L43" s="1958">
        <f>K43/G43*100</f>
        <v>19.090056736304369</v>
      </c>
      <c r="M43" s="1937">
        <f t="shared" si="26"/>
        <v>-4879156</v>
      </c>
      <c r="N43" s="3577"/>
      <c r="O43" s="1983"/>
      <c r="P43" s="1468"/>
      <c r="Q43" s="1468"/>
      <c r="R43" s="1468"/>
      <c r="S43" s="1468"/>
      <c r="T43" s="1468"/>
      <c r="U43" s="1468"/>
      <c r="V43" s="1468"/>
      <c r="W43" s="1468"/>
      <c r="X43" s="1468"/>
      <c r="Y43" s="1468"/>
      <c r="Z43" s="1468"/>
      <c r="AA43" s="1468"/>
      <c r="AB43" s="1468"/>
      <c r="AC43" s="1468"/>
      <c r="AD43" s="1468"/>
      <c r="AE43" s="1468"/>
      <c r="AF43" s="1468"/>
      <c r="AG43" s="1468"/>
      <c r="AH43" s="1468"/>
      <c r="AI43" s="1468"/>
      <c r="AJ43" s="1468"/>
      <c r="AK43" s="1468"/>
      <c r="AL43" s="1468"/>
      <c r="AM43" s="1468"/>
      <c r="AN43" s="1468"/>
      <c r="AO43" s="1468"/>
      <c r="AP43" s="1468"/>
      <c r="AQ43" s="1468"/>
      <c r="AR43" s="1468"/>
      <c r="AS43" s="1468"/>
      <c r="AT43" s="1468"/>
      <c r="AU43" s="1468"/>
      <c r="AV43" s="1468"/>
      <c r="AW43" s="1468"/>
      <c r="AX43" s="1468"/>
      <c r="AY43" s="1468"/>
      <c r="AZ43" s="1468"/>
      <c r="BA43" s="1468"/>
      <c r="BB43" s="1468"/>
      <c r="BC43" s="1468"/>
      <c r="BD43" s="1468"/>
      <c r="BE43" s="1468"/>
      <c r="BF43" s="1468"/>
      <c r="BG43" s="1468"/>
      <c r="BH43" s="1468"/>
      <c r="BI43" s="1468"/>
      <c r="BJ43" s="1468"/>
      <c r="BK43" s="1468"/>
      <c r="BL43" s="1468"/>
      <c r="BM43" s="1468"/>
      <c r="BN43" s="1468"/>
      <c r="BO43" s="1468"/>
      <c r="BP43" s="1468"/>
      <c r="BQ43" s="1468"/>
      <c r="BR43" s="1468"/>
      <c r="BS43" s="1468"/>
      <c r="BT43" s="1468"/>
      <c r="BU43" s="1468"/>
      <c r="BV43" s="1468"/>
      <c r="BW43" s="1468"/>
    </row>
    <row r="44" spans="1:76" s="1468" customFormat="1" ht="42.75" customHeight="1" x14ac:dyDescent="0.2">
      <c r="A44" s="3572" t="s">
        <v>40</v>
      </c>
      <c r="B44" s="2334" t="s">
        <v>270</v>
      </c>
      <c r="C44" s="1663" t="s">
        <v>204</v>
      </c>
      <c r="D44" s="1922"/>
      <c r="E44" s="2335"/>
      <c r="F44" s="2335"/>
      <c r="G44" s="2335"/>
      <c r="H44" s="2336"/>
      <c r="I44" s="2288"/>
      <c r="J44" s="1517"/>
      <c r="K44" s="1515"/>
      <c r="L44" s="1515"/>
      <c r="M44" s="1666"/>
      <c r="N44" s="3111" t="s">
        <v>155</v>
      </c>
      <c r="O44" s="1983"/>
      <c r="BX44" s="2305"/>
    </row>
    <row r="45" spans="1:76" s="1468" customFormat="1" ht="13.5" customHeight="1" x14ac:dyDescent="0.2">
      <c r="A45" s="3573"/>
      <c r="B45" s="394" t="s">
        <v>2</v>
      </c>
      <c r="C45" s="1673"/>
      <c r="D45" s="1908">
        <f>D46+D49</f>
        <v>70317556</v>
      </c>
      <c r="E45" s="1797">
        <f t="shared" ref="E45:F45" si="34">E46+E49</f>
        <v>7906356</v>
      </c>
      <c r="F45" s="1797">
        <f t="shared" si="34"/>
        <v>3016981</v>
      </c>
      <c r="G45" s="1797">
        <f>G46+G49</f>
        <v>59394219</v>
      </c>
      <c r="H45" s="2279">
        <f>H46+H49</f>
        <v>0</v>
      </c>
      <c r="I45" s="1908">
        <f>K45+E45+F45+71544</f>
        <v>11382833</v>
      </c>
      <c r="J45" s="1909">
        <f t="shared" ref="J45:J55" si="35">I45/D45*100</f>
        <v>16.187754022622745</v>
      </c>
      <c r="K45" s="1797">
        <f>K46+K49</f>
        <v>387952</v>
      </c>
      <c r="L45" s="1926">
        <f>K45/G45*100</f>
        <v>0.65318141484443126</v>
      </c>
      <c r="M45" s="1675">
        <f t="shared" ref="M45:M55" si="36">+K45-G45</f>
        <v>-59006267</v>
      </c>
      <c r="N45" s="3112"/>
      <c r="O45" s="1983"/>
    </row>
    <row r="46" spans="1:76" s="1468" customFormat="1" ht="13.5" customHeight="1" x14ac:dyDescent="0.2">
      <c r="A46" s="3573"/>
      <c r="B46" s="366" t="s">
        <v>17</v>
      </c>
      <c r="C46" s="3215" t="s">
        <v>156</v>
      </c>
      <c r="D46" s="1544">
        <f t="shared" ref="D46:H46" si="37">D47</f>
        <v>29407400</v>
      </c>
      <c r="E46" s="1545">
        <f t="shared" si="37"/>
        <v>6099972</v>
      </c>
      <c r="F46" s="1545">
        <f t="shared" si="37"/>
        <v>1107523</v>
      </c>
      <c r="G46" s="1545">
        <f t="shared" si="37"/>
        <v>22199905</v>
      </c>
      <c r="H46" s="1651">
        <f t="shared" si="37"/>
        <v>0</v>
      </c>
      <c r="I46" s="1544">
        <f>K46+E46+F46+71544</f>
        <v>7666991</v>
      </c>
      <c r="J46" s="1548">
        <f t="shared" si="35"/>
        <v>26.071638431143178</v>
      </c>
      <c r="K46" s="1545">
        <f>K47+K48</f>
        <v>387952</v>
      </c>
      <c r="L46" s="1174">
        <v>12</v>
      </c>
      <c r="M46" s="1948">
        <f t="shared" si="36"/>
        <v>-21811953</v>
      </c>
      <c r="N46" s="3112"/>
      <c r="O46" s="1983"/>
    </row>
    <row r="47" spans="1:76" s="610" customFormat="1" ht="13.5" customHeight="1" x14ac:dyDescent="0.2">
      <c r="A47" s="3573"/>
      <c r="B47" s="2337" t="s">
        <v>5</v>
      </c>
      <c r="C47" s="3561"/>
      <c r="D47" s="1535">
        <f>+E47+F47+G47+H47</f>
        <v>29407400</v>
      </c>
      <c r="E47" s="1536">
        <f>625947+1250000+1806740+2417285</f>
        <v>6099972</v>
      </c>
      <c r="F47" s="1536">
        <v>1107523</v>
      </c>
      <c r="G47" s="1536">
        <v>22199905</v>
      </c>
      <c r="H47" s="1628">
        <v>0</v>
      </c>
      <c r="I47" s="1535">
        <f t="shared" si="30"/>
        <v>7540073</v>
      </c>
      <c r="J47" s="1540">
        <f t="shared" si="35"/>
        <v>25.640053183892491</v>
      </c>
      <c r="K47" s="1536">
        <v>332578</v>
      </c>
      <c r="L47" s="1174">
        <f>K47/G47*100</f>
        <v>1.4981055099109657</v>
      </c>
      <c r="M47" s="1589">
        <f t="shared" si="36"/>
        <v>-21867327</v>
      </c>
      <c r="N47" s="3112"/>
      <c r="O47" s="1983"/>
      <c r="P47" s="1468"/>
      <c r="Q47" s="1468"/>
      <c r="R47" s="1468"/>
      <c r="S47" s="1468"/>
      <c r="T47" s="1468"/>
      <c r="U47" s="1468"/>
      <c r="V47" s="1468"/>
      <c r="W47" s="1468"/>
      <c r="X47" s="1468"/>
      <c r="Y47" s="1468"/>
      <c r="Z47" s="1468"/>
      <c r="AA47" s="1468"/>
      <c r="AB47" s="1468"/>
      <c r="AC47" s="1468"/>
      <c r="AD47" s="1468"/>
      <c r="AE47" s="1468"/>
      <c r="AF47" s="1468"/>
      <c r="AG47" s="1468"/>
      <c r="AH47" s="1468"/>
      <c r="AI47" s="1468"/>
      <c r="AJ47" s="1468"/>
      <c r="AK47" s="1468"/>
      <c r="AL47" s="1468"/>
      <c r="AM47" s="1468"/>
      <c r="AN47" s="1468"/>
      <c r="AO47" s="1468"/>
      <c r="AP47" s="1468"/>
      <c r="AQ47" s="1468"/>
      <c r="AR47" s="1468"/>
      <c r="AS47" s="1468"/>
      <c r="AT47" s="1468"/>
      <c r="AU47" s="1468"/>
      <c r="AV47" s="1468"/>
      <c r="AW47" s="1468"/>
      <c r="AX47" s="1468"/>
      <c r="AY47" s="1468"/>
      <c r="AZ47" s="1468"/>
      <c r="BA47" s="1468"/>
      <c r="BB47" s="1468"/>
      <c r="BC47" s="1468"/>
      <c r="BD47" s="1468"/>
      <c r="BE47" s="1468"/>
      <c r="BF47" s="1468"/>
      <c r="BG47" s="1468"/>
      <c r="BH47" s="1468"/>
      <c r="BI47" s="1468"/>
      <c r="BJ47" s="1468"/>
      <c r="BK47" s="1468"/>
      <c r="BL47" s="1468"/>
      <c r="BM47" s="1468"/>
      <c r="BN47" s="1468"/>
      <c r="BO47" s="1468"/>
      <c r="BP47" s="1468"/>
      <c r="BQ47" s="1468"/>
      <c r="BR47" s="1468"/>
      <c r="BS47" s="1468"/>
      <c r="BT47" s="1468"/>
      <c r="BU47" s="1468"/>
      <c r="BV47" s="1468"/>
      <c r="BW47" s="1468"/>
    </row>
    <row r="48" spans="1:76" s="610" customFormat="1" ht="13.5" customHeight="1" x14ac:dyDescent="0.2">
      <c r="A48" s="3573"/>
      <c r="B48" s="2337" t="s">
        <v>6</v>
      </c>
      <c r="C48" s="3561"/>
      <c r="D48" s="1535">
        <f>+E48+F48+G48+H48</f>
        <v>0</v>
      </c>
      <c r="E48" s="1536"/>
      <c r="F48" s="1536"/>
      <c r="G48" s="1536">
        <v>0</v>
      </c>
      <c r="H48" s="1628">
        <v>0</v>
      </c>
      <c r="I48" s="1535">
        <f>K48+E48+F48+71544</f>
        <v>126918</v>
      </c>
      <c r="J48" s="2294">
        <v>0</v>
      </c>
      <c r="K48" s="1536">
        <v>55374</v>
      </c>
      <c r="L48" s="398">
        <v>0</v>
      </c>
      <c r="M48" s="1589">
        <f t="shared" si="36"/>
        <v>55374</v>
      </c>
      <c r="N48" s="3112"/>
      <c r="O48" s="1983"/>
      <c r="P48" s="1468"/>
      <c r="Q48" s="1468"/>
      <c r="R48" s="1468"/>
      <c r="S48" s="1468"/>
      <c r="T48" s="1468"/>
      <c r="U48" s="1468"/>
      <c r="V48" s="1468"/>
      <c r="W48" s="1468"/>
      <c r="X48" s="1468"/>
      <c r="Y48" s="1468"/>
      <c r="Z48" s="1468"/>
      <c r="AA48" s="1468"/>
      <c r="AB48" s="1468"/>
      <c r="AC48" s="1468"/>
      <c r="AD48" s="1468"/>
      <c r="AE48" s="1468"/>
      <c r="AF48" s="1468"/>
      <c r="AG48" s="1468"/>
      <c r="AH48" s="1468"/>
      <c r="AI48" s="1468"/>
      <c r="AJ48" s="1468"/>
      <c r="AK48" s="1468"/>
      <c r="AL48" s="1468"/>
      <c r="AM48" s="1468"/>
      <c r="AN48" s="1468"/>
      <c r="AO48" s="1468"/>
      <c r="AP48" s="1468"/>
      <c r="AQ48" s="1468"/>
      <c r="AR48" s="1468"/>
      <c r="AS48" s="1468"/>
      <c r="AT48" s="1468"/>
      <c r="AU48" s="1468"/>
      <c r="AV48" s="1468"/>
      <c r="AW48" s="1468"/>
      <c r="AX48" s="1468"/>
      <c r="AY48" s="1468"/>
      <c r="AZ48" s="1468"/>
      <c r="BA48" s="1468"/>
      <c r="BB48" s="1468"/>
      <c r="BC48" s="1468"/>
      <c r="BD48" s="1468"/>
      <c r="BE48" s="1468"/>
      <c r="BF48" s="1468"/>
      <c r="BG48" s="1468"/>
      <c r="BH48" s="1468"/>
      <c r="BI48" s="1468"/>
      <c r="BJ48" s="1468"/>
      <c r="BK48" s="1468"/>
      <c r="BL48" s="1468"/>
      <c r="BM48" s="1468"/>
      <c r="BN48" s="1468"/>
      <c r="BO48" s="1468"/>
      <c r="BP48" s="1468"/>
      <c r="BQ48" s="1468"/>
      <c r="BR48" s="1468"/>
      <c r="BS48" s="1468"/>
      <c r="BT48" s="1468"/>
      <c r="BU48" s="1468"/>
      <c r="BV48" s="1468"/>
      <c r="BW48" s="1468"/>
    </row>
    <row r="49" spans="1:76" s="610" customFormat="1" ht="13.5" customHeight="1" x14ac:dyDescent="0.2">
      <c r="A49" s="3573"/>
      <c r="B49" s="368" t="s">
        <v>12</v>
      </c>
      <c r="C49" s="3561"/>
      <c r="D49" s="1544">
        <f t="shared" ref="D49:H49" si="38">D50</f>
        <v>40910156</v>
      </c>
      <c r="E49" s="1545">
        <f t="shared" si="38"/>
        <v>1806384</v>
      </c>
      <c r="F49" s="1545">
        <f t="shared" si="38"/>
        <v>1909458</v>
      </c>
      <c r="G49" s="1545">
        <f t="shared" si="38"/>
        <v>37194314</v>
      </c>
      <c r="H49" s="1651">
        <f t="shared" si="38"/>
        <v>0</v>
      </c>
      <c r="I49" s="2338">
        <f t="shared" si="30"/>
        <v>3715842</v>
      </c>
      <c r="J49" s="1540">
        <f t="shared" si="35"/>
        <v>9.0829328541304015</v>
      </c>
      <c r="K49" s="2339">
        <f>+K50</f>
        <v>0</v>
      </c>
      <c r="L49" s="1588">
        <f t="shared" ref="L49:L55" si="39">K49/G49*100</f>
        <v>0</v>
      </c>
      <c r="M49" s="1948">
        <f t="shared" si="36"/>
        <v>-37194314</v>
      </c>
      <c r="N49" s="3112"/>
      <c r="O49" s="1983"/>
      <c r="P49" s="1468"/>
      <c r="Q49" s="1468"/>
      <c r="R49" s="1468"/>
      <c r="S49" s="1468"/>
      <c r="T49" s="1468"/>
      <c r="U49" s="1468"/>
      <c r="V49" s="1468"/>
      <c r="W49" s="1468"/>
      <c r="X49" s="1468"/>
      <c r="Y49" s="1468"/>
      <c r="Z49" s="1468"/>
      <c r="AA49" s="1468"/>
      <c r="AB49" s="1468"/>
      <c r="AC49" s="1468"/>
      <c r="AD49" s="1468"/>
      <c r="AE49" s="1468"/>
      <c r="AF49" s="1468"/>
      <c r="AG49" s="1468"/>
      <c r="AH49" s="1468"/>
      <c r="AI49" s="1468"/>
      <c r="AJ49" s="1468"/>
      <c r="AK49" s="1468"/>
      <c r="AL49" s="1468"/>
      <c r="AM49" s="1468"/>
      <c r="AN49" s="1468"/>
      <c r="AO49" s="1468"/>
      <c r="AP49" s="1468"/>
      <c r="AQ49" s="1468"/>
      <c r="AR49" s="1468"/>
      <c r="AS49" s="1468"/>
      <c r="AT49" s="1468"/>
      <c r="AU49" s="1468"/>
      <c r="AV49" s="1468"/>
      <c r="AW49" s="1468"/>
      <c r="AX49" s="1468"/>
      <c r="AY49" s="1468"/>
      <c r="AZ49" s="1468"/>
      <c r="BA49" s="1468"/>
      <c r="BB49" s="1468"/>
      <c r="BC49" s="1468"/>
      <c r="BD49" s="1468"/>
      <c r="BE49" s="1468"/>
      <c r="BF49" s="1468"/>
      <c r="BG49" s="1468"/>
      <c r="BH49" s="1468"/>
      <c r="BI49" s="1468"/>
      <c r="BJ49" s="1468"/>
      <c r="BK49" s="1468"/>
      <c r="BL49" s="1468"/>
      <c r="BM49" s="1468"/>
      <c r="BN49" s="1468"/>
      <c r="BO49" s="1468"/>
      <c r="BP49" s="1468"/>
      <c r="BQ49" s="1468"/>
      <c r="BR49" s="1468"/>
      <c r="BS49" s="1468"/>
      <c r="BT49" s="1468"/>
      <c r="BU49" s="1468"/>
      <c r="BV49" s="1468"/>
      <c r="BW49" s="1468"/>
    </row>
    <row r="50" spans="1:76" s="1468" customFormat="1" ht="13.5" customHeight="1" x14ac:dyDescent="0.2">
      <c r="A50" s="3573"/>
      <c r="B50" s="2340" t="s">
        <v>15</v>
      </c>
      <c r="C50" s="3561"/>
      <c r="D50" s="1535">
        <f>+E50+F50+G50+H50</f>
        <v>40910156</v>
      </c>
      <c r="E50" s="1536">
        <v>1806384</v>
      </c>
      <c r="F50" s="1536">
        <v>1909458</v>
      </c>
      <c r="G50" s="1536">
        <v>37194314</v>
      </c>
      <c r="H50" s="1628">
        <v>0</v>
      </c>
      <c r="I50" s="2341">
        <f t="shared" si="30"/>
        <v>3715842</v>
      </c>
      <c r="J50" s="1540">
        <f t="shared" si="35"/>
        <v>9.0829328541304015</v>
      </c>
      <c r="K50" s="2342">
        <v>0</v>
      </c>
      <c r="L50" s="1588">
        <f>K50/G50*100</f>
        <v>0</v>
      </c>
      <c r="M50" s="1589">
        <f t="shared" si="36"/>
        <v>-37194314</v>
      </c>
      <c r="N50" s="3112"/>
      <c r="O50" s="1983"/>
      <c r="BX50" s="610"/>
    </row>
    <row r="51" spans="1:76" s="2306" customFormat="1" ht="13.5" customHeight="1" x14ac:dyDescent="0.2">
      <c r="A51" s="3573"/>
      <c r="B51" s="394" t="s">
        <v>16</v>
      </c>
      <c r="C51" s="1907"/>
      <c r="D51" s="1908">
        <f t="shared" ref="D51:H51" si="40">D54+D52</f>
        <v>53865944</v>
      </c>
      <c r="E51" s="1797">
        <f>E54+E52</f>
        <v>3035159</v>
      </c>
      <c r="F51" s="1797">
        <f t="shared" si="40"/>
        <v>2180016</v>
      </c>
      <c r="G51" s="1797">
        <f t="shared" si="40"/>
        <v>48650769</v>
      </c>
      <c r="H51" s="2279">
        <f t="shared" si="40"/>
        <v>0</v>
      </c>
      <c r="I51" s="2343">
        <f t="shared" si="30"/>
        <v>5336680</v>
      </c>
      <c r="J51" s="1909">
        <f t="shared" si="35"/>
        <v>9.9073358855457911</v>
      </c>
      <c r="K51" s="1797">
        <f>+K52+K54</f>
        <v>121505</v>
      </c>
      <c r="L51" s="1926">
        <f t="shared" si="39"/>
        <v>0.24974939245050784</v>
      </c>
      <c r="M51" s="1675">
        <f t="shared" si="36"/>
        <v>-48529264</v>
      </c>
      <c r="N51" s="3112"/>
      <c r="O51" s="1983"/>
      <c r="P51" s="2305"/>
      <c r="Q51" s="2305"/>
      <c r="R51" s="2305"/>
      <c r="S51" s="2305"/>
      <c r="T51" s="2305"/>
      <c r="U51" s="2305"/>
      <c r="V51" s="2305"/>
      <c r="W51" s="2305"/>
      <c r="X51" s="2305"/>
      <c r="Y51" s="2305"/>
      <c r="Z51" s="2305"/>
      <c r="AA51" s="2305"/>
      <c r="AB51" s="2305"/>
      <c r="AC51" s="2305"/>
      <c r="AD51" s="2305"/>
      <c r="AE51" s="2305"/>
      <c r="AF51" s="2305"/>
      <c r="AG51" s="2305"/>
      <c r="AH51" s="2305"/>
      <c r="AI51" s="2305"/>
      <c r="AJ51" s="2305"/>
      <c r="AK51" s="2305"/>
      <c r="AL51" s="2305"/>
      <c r="AM51" s="2305"/>
      <c r="AN51" s="2305"/>
      <c r="AO51" s="2305"/>
      <c r="AP51" s="2305"/>
      <c r="AQ51" s="2305"/>
      <c r="AR51" s="2305"/>
      <c r="AS51" s="2305"/>
      <c r="AT51" s="2305"/>
      <c r="AU51" s="2305"/>
      <c r="AV51" s="2305"/>
      <c r="AW51" s="2305"/>
      <c r="AX51" s="2305"/>
      <c r="AY51" s="2305"/>
      <c r="AZ51" s="2305"/>
      <c r="BA51" s="2305"/>
      <c r="BB51" s="2305"/>
      <c r="BC51" s="2305"/>
      <c r="BD51" s="2305"/>
      <c r="BE51" s="2305"/>
      <c r="BF51" s="2305"/>
      <c r="BG51" s="2305"/>
      <c r="BH51" s="2305"/>
      <c r="BI51" s="2305"/>
      <c r="BJ51" s="2305"/>
      <c r="BK51" s="2305"/>
      <c r="BL51" s="2305"/>
      <c r="BM51" s="2305"/>
      <c r="BN51" s="2305"/>
      <c r="BO51" s="2305"/>
      <c r="BP51" s="2305"/>
      <c r="BQ51" s="2305"/>
      <c r="BR51" s="2305"/>
      <c r="BS51" s="2305"/>
      <c r="BT51" s="2305"/>
      <c r="BU51" s="2305"/>
      <c r="BV51" s="2305"/>
      <c r="BW51" s="2305"/>
    </row>
    <row r="52" spans="1:76" s="2306" customFormat="1" ht="13.5" customHeight="1" x14ac:dyDescent="0.2">
      <c r="A52" s="3573"/>
      <c r="B52" s="366" t="s">
        <v>17</v>
      </c>
      <c r="C52" s="2344"/>
      <c r="D52" s="2324">
        <f t="shared" ref="D52:H52" si="41">+D53</f>
        <v>12955788</v>
      </c>
      <c r="E52" s="2325">
        <f t="shared" si="41"/>
        <v>1228775</v>
      </c>
      <c r="F52" s="2325">
        <f t="shared" si="41"/>
        <v>270558</v>
      </c>
      <c r="G52" s="2325">
        <f t="shared" si="41"/>
        <v>11456455</v>
      </c>
      <c r="H52" s="2326">
        <f t="shared" si="41"/>
        <v>0</v>
      </c>
      <c r="I52" s="2345">
        <f t="shared" si="30"/>
        <v>1620838</v>
      </c>
      <c r="J52" s="1540">
        <f t="shared" si="35"/>
        <v>12.510531972273705</v>
      </c>
      <c r="K52" s="1545">
        <f>+K53</f>
        <v>121505</v>
      </c>
      <c r="L52" s="1588">
        <f t="shared" si="39"/>
        <v>1.0605811308995672</v>
      </c>
      <c r="M52" s="2329">
        <f t="shared" si="36"/>
        <v>-11334950</v>
      </c>
      <c r="N52" s="3112"/>
      <c r="O52" s="1983"/>
      <c r="P52" s="2305"/>
      <c r="Q52" s="2305"/>
      <c r="R52" s="2305"/>
      <c r="S52" s="2305"/>
      <c r="T52" s="2305"/>
      <c r="U52" s="2305"/>
      <c r="V52" s="2305"/>
      <c r="W52" s="2305"/>
      <c r="X52" s="2305"/>
      <c r="Y52" s="2305"/>
      <c r="Z52" s="2305"/>
      <c r="AA52" s="2305"/>
      <c r="AB52" s="2305"/>
      <c r="AC52" s="2305"/>
      <c r="AD52" s="2305"/>
      <c r="AE52" s="2305"/>
      <c r="AF52" s="2305"/>
      <c r="AG52" s="2305"/>
      <c r="AH52" s="2305"/>
      <c r="AI52" s="2305"/>
      <c r="AJ52" s="2305"/>
      <c r="AK52" s="2305"/>
      <c r="AL52" s="2305"/>
      <c r="AM52" s="2305"/>
      <c r="AN52" s="2305"/>
      <c r="AO52" s="2305"/>
      <c r="AP52" s="2305"/>
      <c r="AQ52" s="2305"/>
      <c r="AR52" s="2305"/>
      <c r="AS52" s="2305"/>
      <c r="AT52" s="2305"/>
      <c r="AU52" s="2305"/>
      <c r="AV52" s="2305"/>
      <c r="AW52" s="2305"/>
      <c r="AX52" s="2305"/>
      <c r="AY52" s="2305"/>
      <c r="AZ52" s="2305"/>
      <c r="BA52" s="2305"/>
      <c r="BB52" s="2305"/>
      <c r="BC52" s="2305"/>
      <c r="BD52" s="2305"/>
      <c r="BE52" s="2305"/>
      <c r="BF52" s="2305"/>
      <c r="BG52" s="2305"/>
      <c r="BH52" s="2305"/>
      <c r="BI52" s="2305"/>
      <c r="BJ52" s="2305"/>
      <c r="BK52" s="2305"/>
      <c r="BL52" s="2305"/>
      <c r="BM52" s="2305"/>
      <c r="BN52" s="2305"/>
      <c r="BO52" s="2305"/>
      <c r="BP52" s="2305"/>
      <c r="BQ52" s="2305"/>
      <c r="BR52" s="2305"/>
      <c r="BS52" s="2305"/>
      <c r="BT52" s="2305"/>
      <c r="BU52" s="2305"/>
      <c r="BV52" s="2305"/>
      <c r="BW52" s="2305"/>
    </row>
    <row r="53" spans="1:76" s="2306" customFormat="1" ht="17.25" customHeight="1" x14ac:dyDescent="0.2">
      <c r="A53" s="3573"/>
      <c r="B53" s="2337" t="s">
        <v>150</v>
      </c>
      <c r="C53" s="2344"/>
      <c r="D53" s="2319">
        <f>+E53+F53+G53+H53</f>
        <v>12955788</v>
      </c>
      <c r="E53" s="1627">
        <f>101937+220330+906508</f>
        <v>1228775</v>
      </c>
      <c r="F53" s="1627">
        <v>270558</v>
      </c>
      <c r="G53" s="1627">
        <v>11456455</v>
      </c>
      <c r="H53" s="1650">
        <v>0</v>
      </c>
      <c r="I53" s="2319">
        <f t="shared" si="30"/>
        <v>1620838</v>
      </c>
      <c r="J53" s="1540">
        <f t="shared" si="35"/>
        <v>12.510531972273705</v>
      </c>
      <c r="K53" s="2330">
        <v>121505</v>
      </c>
      <c r="L53" s="1588">
        <f t="shared" si="39"/>
        <v>1.0605811308995672</v>
      </c>
      <c r="M53" s="1631">
        <f t="shared" si="36"/>
        <v>-11334950</v>
      </c>
      <c r="N53" s="3112"/>
      <c r="O53" s="1983"/>
      <c r="P53" s="2305"/>
      <c r="Q53" s="2305"/>
      <c r="R53" s="2305"/>
      <c r="S53" s="2305"/>
      <c r="T53" s="2305"/>
      <c r="U53" s="2305"/>
      <c r="V53" s="2305"/>
      <c r="W53" s="2305"/>
      <c r="X53" s="2305"/>
      <c r="Y53" s="2305"/>
      <c r="Z53" s="2305"/>
      <c r="AA53" s="2305"/>
      <c r="AB53" s="2305"/>
      <c r="AC53" s="2305"/>
      <c r="AD53" s="2305"/>
      <c r="AE53" s="2305"/>
      <c r="AF53" s="2305"/>
      <c r="AG53" s="2305"/>
      <c r="AH53" s="2305"/>
      <c r="AI53" s="2305"/>
      <c r="AJ53" s="2305"/>
      <c r="AK53" s="2305"/>
      <c r="AL53" s="2305"/>
      <c r="AM53" s="2305"/>
      <c r="AN53" s="2305"/>
      <c r="AO53" s="2305"/>
      <c r="AP53" s="2305"/>
      <c r="AQ53" s="2305"/>
      <c r="AR53" s="2305"/>
      <c r="AS53" s="2305"/>
      <c r="AT53" s="2305"/>
      <c r="AU53" s="2305"/>
      <c r="AV53" s="2305"/>
      <c r="AW53" s="2305"/>
      <c r="AX53" s="2305"/>
      <c r="AY53" s="2305"/>
      <c r="AZ53" s="2305"/>
      <c r="BA53" s="2305"/>
      <c r="BB53" s="2305"/>
      <c r="BC53" s="2305"/>
      <c r="BD53" s="2305"/>
      <c r="BE53" s="2305"/>
      <c r="BF53" s="2305"/>
      <c r="BG53" s="2305"/>
      <c r="BH53" s="2305"/>
      <c r="BI53" s="2305"/>
      <c r="BJ53" s="2305"/>
      <c r="BK53" s="2305"/>
      <c r="BL53" s="2305"/>
      <c r="BM53" s="2305"/>
      <c r="BN53" s="2305"/>
      <c r="BO53" s="2305"/>
      <c r="BP53" s="2305"/>
      <c r="BQ53" s="2305"/>
      <c r="BR53" s="2305"/>
      <c r="BS53" s="2305"/>
      <c r="BT53" s="2305"/>
      <c r="BU53" s="2305"/>
      <c r="BV53" s="2305"/>
      <c r="BW53" s="2305"/>
    </row>
    <row r="54" spans="1:76" s="610" customFormat="1" ht="13.5" customHeight="1" x14ac:dyDescent="0.2">
      <c r="A54" s="3573"/>
      <c r="B54" s="2346" t="s">
        <v>12</v>
      </c>
      <c r="C54" s="3215" t="s">
        <v>127</v>
      </c>
      <c r="D54" s="1544">
        <f t="shared" ref="D54:H54" si="42">+D55</f>
        <v>40910156</v>
      </c>
      <c r="E54" s="1545">
        <f t="shared" si="42"/>
        <v>1806384</v>
      </c>
      <c r="F54" s="1545">
        <f t="shared" si="42"/>
        <v>1909458</v>
      </c>
      <c r="G54" s="1545">
        <f t="shared" si="42"/>
        <v>37194314</v>
      </c>
      <c r="H54" s="1651">
        <f t="shared" si="42"/>
        <v>0</v>
      </c>
      <c r="I54" s="2338">
        <f t="shared" si="30"/>
        <v>3715842</v>
      </c>
      <c r="J54" s="1540">
        <f t="shared" si="35"/>
        <v>9.0829328541304015</v>
      </c>
      <c r="K54" s="2339">
        <f>+K55</f>
        <v>0</v>
      </c>
      <c r="L54" s="1588">
        <f t="shared" si="39"/>
        <v>0</v>
      </c>
      <c r="M54" s="1948">
        <f t="shared" si="36"/>
        <v>-37194314</v>
      </c>
      <c r="N54" s="3112"/>
      <c r="O54" s="1983"/>
      <c r="P54" s="1468"/>
      <c r="Q54" s="1468"/>
      <c r="R54" s="1468"/>
      <c r="S54" s="1468"/>
      <c r="T54" s="1468"/>
      <c r="U54" s="1468"/>
      <c r="V54" s="1468"/>
      <c r="W54" s="1468"/>
      <c r="X54" s="1468"/>
      <c r="Y54" s="1468"/>
      <c r="Z54" s="1468"/>
      <c r="AA54" s="1468"/>
      <c r="AB54" s="1468"/>
      <c r="AC54" s="1468"/>
      <c r="AD54" s="1468"/>
      <c r="AE54" s="1468"/>
      <c r="AF54" s="1468"/>
      <c r="AG54" s="1468"/>
      <c r="AH54" s="1468"/>
      <c r="AI54" s="1468"/>
      <c r="AJ54" s="1468"/>
      <c r="AK54" s="1468"/>
      <c r="AL54" s="1468"/>
      <c r="AM54" s="1468"/>
      <c r="AN54" s="1468"/>
      <c r="AO54" s="1468"/>
      <c r="AP54" s="1468"/>
      <c r="AQ54" s="1468"/>
      <c r="AR54" s="1468"/>
      <c r="AS54" s="1468"/>
      <c r="AT54" s="1468"/>
      <c r="AU54" s="1468"/>
      <c r="AV54" s="1468"/>
      <c r="AW54" s="1468"/>
      <c r="AX54" s="1468"/>
      <c r="AY54" s="1468"/>
      <c r="AZ54" s="1468"/>
      <c r="BA54" s="1468"/>
      <c r="BB54" s="1468"/>
      <c r="BC54" s="1468"/>
      <c r="BD54" s="1468"/>
      <c r="BE54" s="1468"/>
      <c r="BF54" s="1468"/>
      <c r="BG54" s="1468"/>
      <c r="BH54" s="1468"/>
      <c r="BI54" s="1468"/>
      <c r="BJ54" s="1468"/>
      <c r="BK54" s="1468"/>
      <c r="BL54" s="1468"/>
      <c r="BM54" s="1468"/>
      <c r="BN54" s="1468"/>
      <c r="BO54" s="1468"/>
      <c r="BP54" s="1468"/>
      <c r="BQ54" s="1468"/>
      <c r="BR54" s="1468"/>
      <c r="BS54" s="1468"/>
      <c r="BT54" s="1468"/>
      <c r="BU54" s="1468"/>
      <c r="BV54" s="1468"/>
      <c r="BW54" s="1468"/>
    </row>
    <row r="55" spans="1:76" s="610" customFormat="1" ht="13.5" customHeight="1" thickBot="1" x14ac:dyDescent="0.25">
      <c r="A55" s="3574"/>
      <c r="B55" s="2347" t="s">
        <v>15</v>
      </c>
      <c r="C55" s="3569"/>
      <c r="D55" s="1559">
        <f>+E55+F55+G55+H55</f>
        <v>40910156</v>
      </c>
      <c r="E55" s="1560">
        <v>1806384</v>
      </c>
      <c r="F55" s="1560">
        <v>1909458</v>
      </c>
      <c r="G55" s="1560">
        <v>37194314</v>
      </c>
      <c r="H55" s="1960">
        <v>0</v>
      </c>
      <c r="I55" s="2348">
        <f t="shared" si="30"/>
        <v>3715842</v>
      </c>
      <c r="J55" s="1563">
        <f t="shared" si="35"/>
        <v>9.0829328541304015</v>
      </c>
      <c r="K55" s="2349">
        <v>0</v>
      </c>
      <c r="L55" s="1958">
        <f t="shared" si="39"/>
        <v>0</v>
      </c>
      <c r="M55" s="1937">
        <f t="shared" si="36"/>
        <v>-37194314</v>
      </c>
      <c r="N55" s="3113"/>
      <c r="O55" s="1983"/>
      <c r="P55" s="1468"/>
      <c r="Q55" s="1468"/>
      <c r="R55" s="1468"/>
      <c r="S55" s="1468"/>
      <c r="T55" s="1468"/>
      <c r="U55" s="1468"/>
      <c r="V55" s="1468"/>
      <c r="W55" s="1468"/>
      <c r="X55" s="1468"/>
      <c r="Y55" s="1468"/>
      <c r="Z55" s="1468"/>
      <c r="AA55" s="1468"/>
      <c r="AB55" s="1468"/>
      <c r="AC55" s="1468"/>
      <c r="AD55" s="1468"/>
      <c r="AE55" s="1468"/>
      <c r="AF55" s="1468"/>
      <c r="AG55" s="1468"/>
      <c r="AH55" s="1468"/>
      <c r="AI55" s="1468"/>
      <c r="AJ55" s="1468"/>
      <c r="AK55" s="1468"/>
      <c r="AL55" s="1468"/>
      <c r="AM55" s="1468"/>
      <c r="AN55" s="1468"/>
      <c r="AO55" s="1468"/>
      <c r="AP55" s="1468"/>
      <c r="AQ55" s="1468"/>
      <c r="AR55" s="1468"/>
      <c r="AS55" s="1468"/>
      <c r="AT55" s="1468"/>
      <c r="AU55" s="1468"/>
      <c r="AV55" s="1468"/>
      <c r="AW55" s="1468"/>
      <c r="AX55" s="1468"/>
      <c r="AY55" s="1468"/>
      <c r="AZ55" s="1468"/>
      <c r="BA55" s="1468"/>
      <c r="BB55" s="1468"/>
      <c r="BC55" s="1468"/>
      <c r="BD55" s="1468"/>
      <c r="BE55" s="1468"/>
      <c r="BF55" s="1468"/>
      <c r="BG55" s="1468"/>
      <c r="BH55" s="1468"/>
      <c r="BI55" s="1468"/>
      <c r="BJ55" s="1468"/>
      <c r="BK55" s="1468"/>
      <c r="BL55" s="1468"/>
      <c r="BM55" s="1468"/>
      <c r="BN55" s="1468"/>
      <c r="BO55" s="1468"/>
      <c r="BP55" s="1468"/>
      <c r="BQ55" s="1468"/>
      <c r="BR55" s="1468"/>
      <c r="BS55" s="1468"/>
      <c r="BT55" s="1468"/>
      <c r="BU55" s="1468"/>
      <c r="BV55" s="1468"/>
      <c r="BW55" s="1468"/>
    </row>
    <row r="56" spans="1:76" s="610" customFormat="1" ht="60" customHeight="1" x14ac:dyDescent="0.2">
      <c r="A56" s="3562" t="s">
        <v>41</v>
      </c>
      <c r="B56" s="2026" t="s">
        <v>319</v>
      </c>
      <c r="C56" s="1663" t="s">
        <v>204</v>
      </c>
      <c r="D56" s="1922"/>
      <c r="E56" s="2350"/>
      <c r="F56" s="2350"/>
      <c r="G56" s="2350"/>
      <c r="H56" s="2336"/>
      <c r="I56" s="2288"/>
      <c r="J56" s="2292"/>
      <c r="K56" s="2290"/>
      <c r="L56" s="2351"/>
      <c r="M56" s="2335"/>
      <c r="N56" s="3558" t="s">
        <v>157</v>
      </c>
      <c r="O56" s="1983"/>
      <c r="P56" s="1468"/>
      <c r="Q56" s="1468"/>
      <c r="R56" s="1468"/>
      <c r="S56" s="1468"/>
      <c r="T56" s="1468"/>
      <c r="U56" s="1468"/>
      <c r="V56" s="1468"/>
      <c r="W56" s="1468"/>
      <c r="X56" s="1468"/>
      <c r="Y56" s="1468"/>
      <c r="Z56" s="1468"/>
      <c r="AA56" s="1468"/>
      <c r="AB56" s="1468"/>
      <c r="AC56" s="1468"/>
      <c r="AD56" s="1468"/>
      <c r="AE56" s="1468"/>
      <c r="AF56" s="1468"/>
      <c r="AG56" s="1468"/>
      <c r="AH56" s="1468"/>
      <c r="AI56" s="1468"/>
      <c r="AJ56" s="1468"/>
      <c r="AK56" s="1468"/>
      <c r="AL56" s="1468"/>
      <c r="AM56" s="1468"/>
      <c r="AN56" s="1468"/>
      <c r="AO56" s="1468"/>
      <c r="AP56" s="1468"/>
      <c r="AQ56" s="1468"/>
      <c r="AR56" s="1468"/>
      <c r="AS56" s="1468"/>
      <c r="AT56" s="1468"/>
      <c r="AU56" s="1468"/>
      <c r="AV56" s="1468"/>
      <c r="AW56" s="1468"/>
      <c r="AX56" s="1468"/>
      <c r="AY56" s="1468"/>
      <c r="AZ56" s="1468"/>
      <c r="BA56" s="1468"/>
      <c r="BB56" s="1468"/>
      <c r="BC56" s="1468"/>
      <c r="BD56" s="1468"/>
      <c r="BE56" s="1468"/>
      <c r="BF56" s="1468"/>
      <c r="BG56" s="1468"/>
      <c r="BH56" s="1468"/>
      <c r="BI56" s="1468"/>
      <c r="BJ56" s="1468"/>
      <c r="BK56" s="1468"/>
      <c r="BL56" s="1468"/>
      <c r="BM56" s="1468"/>
      <c r="BN56" s="1468"/>
      <c r="BO56" s="1468"/>
      <c r="BP56" s="1468"/>
      <c r="BQ56" s="1468"/>
      <c r="BR56" s="1468"/>
      <c r="BS56" s="1468"/>
      <c r="BT56" s="1468"/>
      <c r="BU56" s="1468"/>
      <c r="BV56" s="1468"/>
      <c r="BW56" s="1468"/>
    </row>
    <row r="57" spans="1:76" s="610" customFormat="1" ht="13.5" customHeight="1" x14ac:dyDescent="0.2">
      <c r="A57" s="3563"/>
      <c r="B57" s="220" t="s">
        <v>2</v>
      </c>
      <c r="C57" s="1673"/>
      <c r="D57" s="1908">
        <f>D58+D61</f>
        <v>2900000</v>
      </c>
      <c r="E57" s="1797">
        <f t="shared" ref="E57:H57" si="43">E58+E61</f>
        <v>779744</v>
      </c>
      <c r="F57" s="1797">
        <f t="shared" si="43"/>
        <v>256006</v>
      </c>
      <c r="G57" s="1797">
        <f t="shared" si="43"/>
        <v>1864250</v>
      </c>
      <c r="H57" s="2279">
        <f t="shared" si="43"/>
        <v>0</v>
      </c>
      <c r="I57" s="1908">
        <f t="shared" si="30"/>
        <v>1427250</v>
      </c>
      <c r="J57" s="1909">
        <f>I57/D57*100</f>
        <v>49.21551724137931</v>
      </c>
      <c r="K57" s="1797">
        <f>K58+K61</f>
        <v>391500</v>
      </c>
      <c r="L57" s="1485">
        <f>K57/G57*100</f>
        <v>21.000402306557596</v>
      </c>
      <c r="M57" s="1797">
        <f>+K57-G57</f>
        <v>-1472750</v>
      </c>
      <c r="N57" s="3559"/>
      <c r="O57" s="1983"/>
      <c r="P57" s="1468"/>
      <c r="Q57" s="1468"/>
      <c r="R57" s="1468"/>
      <c r="S57" s="1468"/>
      <c r="T57" s="1468"/>
      <c r="U57" s="1468"/>
      <c r="V57" s="1468"/>
      <c r="W57" s="1468"/>
      <c r="X57" s="1468"/>
      <c r="Y57" s="1468"/>
      <c r="Z57" s="1468"/>
      <c r="AA57" s="1468"/>
      <c r="AB57" s="1468"/>
      <c r="AC57" s="1468"/>
      <c r="AD57" s="1468"/>
      <c r="AE57" s="1468"/>
      <c r="AF57" s="1468"/>
      <c r="AG57" s="1468"/>
      <c r="AH57" s="1468"/>
      <c r="AI57" s="1468"/>
      <c r="AJ57" s="1468"/>
      <c r="AK57" s="1468"/>
      <c r="AL57" s="1468"/>
      <c r="AM57" s="1468"/>
      <c r="AN57" s="1468"/>
      <c r="AO57" s="1468"/>
      <c r="AP57" s="1468"/>
      <c r="AQ57" s="1468"/>
      <c r="AR57" s="1468"/>
      <c r="AS57" s="1468"/>
      <c r="AT57" s="1468"/>
      <c r="AU57" s="1468"/>
      <c r="AV57" s="1468"/>
      <c r="AW57" s="1468"/>
      <c r="AX57" s="1468"/>
      <c r="AY57" s="1468"/>
      <c r="AZ57" s="1468"/>
      <c r="BA57" s="1468"/>
      <c r="BB57" s="1468"/>
      <c r="BC57" s="1468"/>
      <c r="BD57" s="1468"/>
      <c r="BE57" s="1468"/>
      <c r="BF57" s="1468"/>
      <c r="BG57" s="1468"/>
      <c r="BH57" s="1468"/>
      <c r="BI57" s="1468"/>
      <c r="BJ57" s="1468"/>
      <c r="BK57" s="1468"/>
      <c r="BL57" s="1468"/>
      <c r="BM57" s="1468"/>
      <c r="BN57" s="1468"/>
      <c r="BO57" s="1468"/>
      <c r="BP57" s="1468"/>
      <c r="BQ57" s="1468"/>
      <c r="BR57" s="1468"/>
      <c r="BS57" s="1468"/>
      <c r="BT57" s="1468"/>
      <c r="BU57" s="1468"/>
      <c r="BV57" s="1468"/>
      <c r="BW57" s="1468"/>
    </row>
    <row r="58" spans="1:76" s="610" customFormat="1" ht="13.5" customHeight="1" x14ac:dyDescent="0.2">
      <c r="A58" s="3563"/>
      <c r="B58" s="242" t="s">
        <v>17</v>
      </c>
      <c r="C58" s="3215" t="s">
        <v>156</v>
      </c>
      <c r="D58" s="1544">
        <f>D59</f>
        <v>1384350</v>
      </c>
      <c r="E58" s="1545">
        <f t="shared" ref="E58:H58" si="44">E59</f>
        <v>779744</v>
      </c>
      <c r="F58" s="1545">
        <f t="shared" si="44"/>
        <v>256006</v>
      </c>
      <c r="G58" s="1545">
        <f t="shared" si="44"/>
        <v>348600</v>
      </c>
      <c r="H58" s="1651">
        <f t="shared" si="44"/>
        <v>0</v>
      </c>
      <c r="I58" s="1544">
        <f t="shared" si="30"/>
        <v>1108957</v>
      </c>
      <c r="J58" s="1548">
        <f>I58/D58*100</f>
        <v>80.106692671650961</v>
      </c>
      <c r="K58" s="1545">
        <f>K59</f>
        <v>73207</v>
      </c>
      <c r="L58" s="2352">
        <f>K58/G58*100</f>
        <v>21.000286861732643</v>
      </c>
      <c r="M58" s="1545">
        <f>+K58-G58</f>
        <v>-275393</v>
      </c>
      <c r="N58" s="3559"/>
      <c r="O58" s="1983"/>
      <c r="P58" s="1468"/>
      <c r="Q58" s="1468"/>
      <c r="R58" s="1468"/>
      <c r="S58" s="1468"/>
      <c r="T58" s="1468"/>
      <c r="U58" s="1468"/>
      <c r="V58" s="1468"/>
      <c r="W58" s="1468"/>
      <c r="X58" s="1468"/>
      <c r="Y58" s="1468"/>
      <c r="Z58" s="1468"/>
      <c r="AA58" s="1468"/>
      <c r="AB58" s="1468"/>
      <c r="AC58" s="1468"/>
      <c r="AD58" s="1468"/>
      <c r="AE58" s="1468"/>
      <c r="AF58" s="1468"/>
      <c r="AG58" s="1468"/>
      <c r="AH58" s="1468"/>
      <c r="AI58" s="1468"/>
      <c r="AJ58" s="1468"/>
      <c r="AK58" s="1468"/>
      <c r="AL58" s="1468"/>
      <c r="AM58" s="1468"/>
      <c r="AN58" s="1468"/>
      <c r="AO58" s="1468"/>
      <c r="AP58" s="1468"/>
      <c r="AQ58" s="1468"/>
      <c r="AR58" s="1468"/>
      <c r="AS58" s="1468"/>
      <c r="AT58" s="1468"/>
      <c r="AU58" s="1468"/>
      <c r="AV58" s="1468"/>
      <c r="AW58" s="1468"/>
      <c r="AX58" s="1468"/>
      <c r="AY58" s="1468"/>
      <c r="AZ58" s="1468"/>
      <c r="BA58" s="1468"/>
      <c r="BB58" s="1468"/>
      <c r="BC58" s="1468"/>
      <c r="BD58" s="1468"/>
      <c r="BE58" s="1468"/>
      <c r="BF58" s="1468"/>
      <c r="BG58" s="1468"/>
      <c r="BH58" s="1468"/>
      <c r="BI58" s="1468"/>
      <c r="BJ58" s="1468"/>
      <c r="BK58" s="1468"/>
      <c r="BL58" s="1468"/>
      <c r="BM58" s="1468"/>
      <c r="BN58" s="1468"/>
      <c r="BO58" s="1468"/>
      <c r="BP58" s="1468"/>
      <c r="BQ58" s="1468"/>
      <c r="BR58" s="1468"/>
      <c r="BS58" s="1468"/>
      <c r="BT58" s="1468"/>
      <c r="BU58" s="1468"/>
      <c r="BV58" s="1468"/>
      <c r="BW58" s="1468"/>
    </row>
    <row r="59" spans="1:76" s="610" customFormat="1" ht="13.5" customHeight="1" x14ac:dyDescent="0.2">
      <c r="A59" s="3563"/>
      <c r="B59" s="2318" t="s">
        <v>5</v>
      </c>
      <c r="C59" s="3561"/>
      <c r="D59" s="1535">
        <f>+E59+F59+G59+H59</f>
        <v>1384350</v>
      </c>
      <c r="E59" s="1536">
        <v>779744</v>
      </c>
      <c r="F59" s="1536">
        <v>256006</v>
      </c>
      <c r="G59" s="1536">
        <v>348600</v>
      </c>
      <c r="H59" s="2353">
        <v>0</v>
      </c>
      <c r="I59" s="1535">
        <f t="shared" si="30"/>
        <v>1108957</v>
      </c>
      <c r="J59" s="1540">
        <f>I59/D59*100</f>
        <v>80.106692671650961</v>
      </c>
      <c r="K59" s="1536">
        <v>73207</v>
      </c>
      <c r="L59" s="2354">
        <f>K59/G59*100</f>
        <v>21.000286861732643</v>
      </c>
      <c r="M59" s="1536">
        <f>+K59-G59</f>
        <v>-275393</v>
      </c>
      <c r="N59" s="3559"/>
      <c r="O59" s="1983"/>
      <c r="P59" s="1468"/>
      <c r="Q59" s="1468"/>
      <c r="R59" s="1468"/>
      <c r="S59" s="1468"/>
      <c r="T59" s="1468"/>
      <c r="U59" s="1468"/>
      <c r="V59" s="1468"/>
      <c r="W59" s="1468"/>
      <c r="X59" s="1468"/>
      <c r="Y59" s="1468"/>
      <c r="Z59" s="1468"/>
      <c r="AA59" s="1468"/>
      <c r="AB59" s="1468"/>
      <c r="AC59" s="1468"/>
      <c r="AD59" s="1468"/>
      <c r="AE59" s="1468"/>
      <c r="AF59" s="1468"/>
      <c r="AG59" s="1468"/>
      <c r="AH59" s="1468"/>
      <c r="AI59" s="1468"/>
      <c r="AJ59" s="1468"/>
      <c r="AK59" s="1468"/>
      <c r="AL59" s="1468"/>
      <c r="AM59" s="1468"/>
      <c r="AN59" s="1468"/>
      <c r="AO59" s="1468"/>
      <c r="AP59" s="1468"/>
      <c r="AQ59" s="1468"/>
      <c r="AR59" s="1468"/>
      <c r="AS59" s="1468"/>
      <c r="AT59" s="1468"/>
      <c r="AU59" s="1468"/>
      <c r="AV59" s="1468"/>
      <c r="AW59" s="1468"/>
      <c r="AX59" s="1468"/>
      <c r="AY59" s="1468"/>
      <c r="AZ59" s="1468"/>
      <c r="BA59" s="1468"/>
      <c r="BB59" s="1468"/>
      <c r="BC59" s="1468"/>
      <c r="BD59" s="1468"/>
      <c r="BE59" s="1468"/>
      <c r="BF59" s="1468"/>
      <c r="BG59" s="1468"/>
      <c r="BH59" s="1468"/>
      <c r="BI59" s="1468"/>
      <c r="BJ59" s="1468"/>
      <c r="BK59" s="1468"/>
      <c r="BL59" s="1468"/>
      <c r="BM59" s="1468"/>
      <c r="BN59" s="1468"/>
      <c r="BO59" s="1468"/>
      <c r="BP59" s="1468"/>
      <c r="BQ59" s="1468"/>
      <c r="BR59" s="1468"/>
      <c r="BS59" s="1468"/>
      <c r="BT59" s="1468"/>
      <c r="BU59" s="1468"/>
      <c r="BV59" s="1468"/>
      <c r="BW59" s="1468"/>
    </row>
    <row r="60" spans="1:76" s="610" customFormat="1" ht="13.5" hidden="1" customHeight="1" x14ac:dyDescent="0.2">
      <c r="A60" s="3563"/>
      <c r="B60" s="2318" t="s">
        <v>6</v>
      </c>
      <c r="C60" s="2355"/>
      <c r="D60" s="1535"/>
      <c r="E60" s="1536"/>
      <c r="F60" s="1536"/>
      <c r="G60" s="1536"/>
      <c r="H60" s="2353"/>
      <c r="I60" s="1535"/>
      <c r="J60" s="1540"/>
      <c r="K60" s="1536"/>
      <c r="L60" s="2354"/>
      <c r="M60" s="1536"/>
      <c r="N60" s="3559"/>
      <c r="O60" s="1983"/>
      <c r="P60" s="1468"/>
      <c r="Q60" s="1468"/>
      <c r="R60" s="1468"/>
      <c r="S60" s="1468"/>
      <c r="T60" s="1468"/>
      <c r="U60" s="1468"/>
      <c r="V60" s="1468"/>
      <c r="W60" s="1468"/>
      <c r="X60" s="1468"/>
      <c r="Y60" s="1468"/>
      <c r="Z60" s="1468"/>
      <c r="AA60" s="1468"/>
      <c r="AB60" s="1468"/>
      <c r="AC60" s="1468"/>
      <c r="AD60" s="1468"/>
      <c r="AE60" s="1468"/>
      <c r="AF60" s="1468"/>
      <c r="AG60" s="1468"/>
      <c r="AH60" s="1468"/>
      <c r="AI60" s="1468"/>
      <c r="AJ60" s="1468"/>
      <c r="AK60" s="1468"/>
      <c r="AL60" s="1468"/>
      <c r="AM60" s="1468"/>
      <c r="AN60" s="1468"/>
      <c r="AO60" s="1468"/>
      <c r="AP60" s="1468"/>
      <c r="AQ60" s="1468"/>
      <c r="AR60" s="1468"/>
      <c r="AS60" s="1468"/>
      <c r="AT60" s="1468"/>
      <c r="AU60" s="1468"/>
      <c r="AV60" s="1468"/>
      <c r="AW60" s="1468"/>
      <c r="AX60" s="1468"/>
      <c r="AY60" s="1468"/>
      <c r="AZ60" s="1468"/>
      <c r="BA60" s="1468"/>
      <c r="BB60" s="1468"/>
      <c r="BC60" s="1468"/>
      <c r="BD60" s="1468"/>
      <c r="BE60" s="1468"/>
      <c r="BF60" s="1468"/>
      <c r="BG60" s="1468"/>
      <c r="BH60" s="1468"/>
      <c r="BI60" s="1468"/>
      <c r="BJ60" s="1468"/>
      <c r="BK60" s="1468"/>
      <c r="BL60" s="1468"/>
      <c r="BM60" s="1468"/>
      <c r="BN60" s="1468"/>
      <c r="BO60" s="1468"/>
      <c r="BP60" s="1468"/>
      <c r="BQ60" s="1468"/>
      <c r="BR60" s="1468"/>
      <c r="BS60" s="1468"/>
      <c r="BT60" s="1468"/>
      <c r="BU60" s="1468"/>
      <c r="BV60" s="1468"/>
      <c r="BW60" s="1468"/>
    </row>
    <row r="61" spans="1:76" s="610" customFormat="1" ht="13.5" customHeight="1" x14ac:dyDescent="0.2">
      <c r="A61" s="3563"/>
      <c r="B61" s="2356" t="s">
        <v>12</v>
      </c>
      <c r="C61" s="2355"/>
      <c r="D61" s="2357">
        <f>D62</f>
        <v>1515650</v>
      </c>
      <c r="E61" s="2358">
        <f t="shared" ref="E61:G61" si="45">+E62</f>
        <v>0</v>
      </c>
      <c r="F61" s="2358">
        <f t="shared" si="45"/>
        <v>0</v>
      </c>
      <c r="G61" s="2358">
        <f t="shared" si="45"/>
        <v>1515650</v>
      </c>
      <c r="H61" s="2359">
        <f>+H62</f>
        <v>0</v>
      </c>
      <c r="I61" s="1535">
        <f>K61+E61+F61</f>
        <v>318293</v>
      </c>
      <c r="J61" s="1540">
        <f>I61/D61*100</f>
        <v>21.000428858905419</v>
      </c>
      <c r="K61" s="1536">
        <f>+K62</f>
        <v>318293</v>
      </c>
      <c r="L61" s="2360">
        <f t="shared" ref="L61:L67" si="46">K61/G61*100</f>
        <v>21.000428858905419</v>
      </c>
      <c r="M61" s="1536">
        <f t="shared" ref="M61" si="47">+K61-G61</f>
        <v>-1197357</v>
      </c>
      <c r="N61" s="3559"/>
      <c r="O61" s="1983"/>
      <c r="P61" s="1468"/>
      <c r="Q61" s="1468"/>
      <c r="R61" s="1468"/>
      <c r="S61" s="1468"/>
      <c r="T61" s="1468"/>
      <c r="U61" s="1468"/>
      <c r="V61" s="1468"/>
      <c r="W61" s="1468"/>
      <c r="X61" s="1468"/>
      <c r="Y61" s="1468"/>
      <c r="Z61" s="1468"/>
      <c r="AA61" s="1468"/>
      <c r="AB61" s="1468"/>
      <c r="AC61" s="1468"/>
      <c r="AD61" s="1468"/>
      <c r="AE61" s="1468"/>
      <c r="AF61" s="1468"/>
      <c r="AG61" s="1468"/>
      <c r="AH61" s="1468"/>
      <c r="AI61" s="1468"/>
      <c r="AJ61" s="1468"/>
      <c r="AK61" s="1468"/>
      <c r="AL61" s="1468"/>
      <c r="AM61" s="1468"/>
      <c r="AN61" s="1468"/>
      <c r="AO61" s="1468"/>
      <c r="AP61" s="1468"/>
      <c r="AQ61" s="1468"/>
      <c r="AR61" s="1468"/>
      <c r="AS61" s="1468"/>
      <c r="AT61" s="1468"/>
      <c r="AU61" s="1468"/>
      <c r="AV61" s="1468"/>
      <c r="AW61" s="1468"/>
      <c r="AX61" s="1468"/>
      <c r="AY61" s="1468"/>
      <c r="AZ61" s="1468"/>
      <c r="BA61" s="1468"/>
      <c r="BB61" s="1468"/>
      <c r="BC61" s="1468"/>
      <c r="BD61" s="1468"/>
      <c r="BE61" s="1468"/>
      <c r="BF61" s="1468"/>
      <c r="BG61" s="1468"/>
      <c r="BH61" s="1468"/>
      <c r="BI61" s="1468"/>
      <c r="BJ61" s="1468"/>
      <c r="BK61" s="1468"/>
      <c r="BL61" s="1468"/>
      <c r="BM61" s="1468"/>
      <c r="BN61" s="1468"/>
      <c r="BO61" s="1468"/>
      <c r="BP61" s="1468"/>
      <c r="BQ61" s="1468"/>
      <c r="BR61" s="1468"/>
      <c r="BS61" s="1468"/>
      <c r="BT61" s="1468"/>
      <c r="BU61" s="1468"/>
      <c r="BV61" s="1468"/>
      <c r="BW61" s="1468"/>
    </row>
    <row r="62" spans="1:76" s="610" customFormat="1" ht="13.5" customHeight="1" x14ac:dyDescent="0.2">
      <c r="A62" s="3563"/>
      <c r="B62" s="2361" t="s">
        <v>320</v>
      </c>
      <c r="C62" s="2355"/>
      <c r="D62" s="1535">
        <f>+E62+F62+G62+H62</f>
        <v>1515650</v>
      </c>
      <c r="E62" s="1536">
        <v>0</v>
      </c>
      <c r="F62" s="1536">
        <v>0</v>
      </c>
      <c r="G62" s="1536">
        <v>1515650</v>
      </c>
      <c r="H62" s="2353">
        <v>0</v>
      </c>
      <c r="I62" s="1535">
        <f t="shared" si="30"/>
        <v>318293</v>
      </c>
      <c r="J62" s="1540">
        <f t="shared" ref="J62" si="48">I62/D62*100</f>
        <v>21.000428858905419</v>
      </c>
      <c r="K62" s="1536">
        <v>318293</v>
      </c>
      <c r="L62" s="2360">
        <f t="shared" si="46"/>
        <v>21.000428858905419</v>
      </c>
      <c r="M62" s="1536">
        <f>+K62-G62</f>
        <v>-1197357</v>
      </c>
      <c r="N62" s="3559"/>
      <c r="O62" s="1983"/>
      <c r="P62" s="1468"/>
      <c r="Q62" s="1468"/>
      <c r="R62" s="1468"/>
      <c r="S62" s="1468"/>
      <c r="T62" s="1468"/>
      <c r="U62" s="1468"/>
      <c r="V62" s="1468"/>
      <c r="W62" s="1468"/>
      <c r="X62" s="1468"/>
      <c r="Y62" s="1468"/>
      <c r="Z62" s="1468"/>
      <c r="AA62" s="1468"/>
      <c r="AB62" s="1468"/>
      <c r="AC62" s="1468"/>
      <c r="AD62" s="1468"/>
      <c r="AE62" s="1468"/>
      <c r="AF62" s="1468"/>
      <c r="AG62" s="1468"/>
      <c r="AH62" s="1468"/>
      <c r="AI62" s="1468"/>
      <c r="AJ62" s="1468"/>
      <c r="AK62" s="1468"/>
      <c r="AL62" s="1468"/>
      <c r="AM62" s="1468"/>
      <c r="AN62" s="1468"/>
      <c r="AO62" s="1468"/>
      <c r="AP62" s="1468"/>
      <c r="AQ62" s="1468"/>
      <c r="AR62" s="1468"/>
      <c r="AS62" s="1468"/>
      <c r="AT62" s="1468"/>
      <c r="AU62" s="1468"/>
      <c r="AV62" s="1468"/>
      <c r="AW62" s="1468"/>
      <c r="AX62" s="1468"/>
      <c r="AY62" s="1468"/>
      <c r="AZ62" s="1468"/>
      <c r="BA62" s="1468"/>
      <c r="BB62" s="1468"/>
      <c r="BC62" s="1468"/>
      <c r="BD62" s="1468"/>
      <c r="BE62" s="1468"/>
      <c r="BF62" s="1468"/>
      <c r="BG62" s="1468"/>
      <c r="BH62" s="1468"/>
      <c r="BI62" s="1468"/>
      <c r="BJ62" s="1468"/>
      <c r="BK62" s="1468"/>
      <c r="BL62" s="1468"/>
      <c r="BM62" s="1468"/>
      <c r="BN62" s="1468"/>
      <c r="BO62" s="1468"/>
      <c r="BP62" s="1468"/>
      <c r="BQ62" s="1468"/>
      <c r="BR62" s="1468"/>
      <c r="BS62" s="1468"/>
      <c r="BT62" s="1468"/>
      <c r="BU62" s="1468"/>
      <c r="BV62" s="1468"/>
      <c r="BW62" s="1468"/>
    </row>
    <row r="63" spans="1:76" s="610" customFormat="1" ht="13.5" customHeight="1" x14ac:dyDescent="0.2">
      <c r="A63" s="3563"/>
      <c r="B63" s="220" t="s">
        <v>16</v>
      </c>
      <c r="C63" s="1673"/>
      <c r="D63" s="1908">
        <f>+D64+D66</f>
        <v>2024517</v>
      </c>
      <c r="E63" s="1797">
        <f t="shared" ref="E63:H63" si="49">+E64+E66</f>
        <v>52889</v>
      </c>
      <c r="F63" s="1797">
        <f t="shared" si="49"/>
        <v>124808</v>
      </c>
      <c r="G63" s="1797">
        <f t="shared" si="49"/>
        <v>1846820</v>
      </c>
      <c r="H63" s="2279">
        <f t="shared" si="49"/>
        <v>0</v>
      </c>
      <c r="I63" s="1908">
        <f>K63+E63+F63</f>
        <v>184477</v>
      </c>
      <c r="J63" s="1927">
        <v>0</v>
      </c>
      <c r="K63" s="1797">
        <f>K64</f>
        <v>6780</v>
      </c>
      <c r="L63" s="2362">
        <f t="shared" si="46"/>
        <v>0.36711753175729089</v>
      </c>
      <c r="M63" s="1797">
        <f>+K63-G63</f>
        <v>-1840040</v>
      </c>
      <c r="N63" s="3559"/>
      <c r="O63" s="1983"/>
      <c r="P63" s="1468"/>
      <c r="Q63" s="1468"/>
      <c r="R63" s="1468"/>
      <c r="S63" s="1468"/>
      <c r="T63" s="1468"/>
      <c r="U63" s="1468"/>
      <c r="V63" s="1468"/>
      <c r="W63" s="1468"/>
      <c r="X63" s="1468"/>
      <c r="Y63" s="1468"/>
      <c r="Z63" s="1468"/>
      <c r="AA63" s="1468"/>
      <c r="AB63" s="1468"/>
      <c r="AC63" s="1468"/>
      <c r="AD63" s="1468"/>
      <c r="AE63" s="1468"/>
      <c r="AF63" s="1468"/>
      <c r="AG63" s="1468"/>
      <c r="AH63" s="1468"/>
      <c r="AI63" s="1468"/>
      <c r="AJ63" s="1468"/>
      <c r="AK63" s="1468"/>
      <c r="AL63" s="1468"/>
      <c r="AM63" s="1468"/>
      <c r="AN63" s="1468"/>
      <c r="AO63" s="1468"/>
      <c r="AP63" s="1468"/>
      <c r="AQ63" s="1468"/>
      <c r="AR63" s="1468"/>
      <c r="AS63" s="1468"/>
      <c r="AT63" s="1468"/>
      <c r="AU63" s="1468"/>
      <c r="AV63" s="1468"/>
      <c r="AW63" s="1468"/>
      <c r="AX63" s="1468"/>
      <c r="AY63" s="1468"/>
      <c r="AZ63" s="1468"/>
      <c r="BA63" s="1468"/>
      <c r="BB63" s="1468"/>
      <c r="BC63" s="1468"/>
      <c r="BD63" s="1468"/>
      <c r="BE63" s="1468"/>
      <c r="BF63" s="1468"/>
      <c r="BG63" s="1468"/>
      <c r="BH63" s="1468"/>
      <c r="BI63" s="1468"/>
      <c r="BJ63" s="1468"/>
      <c r="BK63" s="1468"/>
      <c r="BL63" s="1468"/>
      <c r="BM63" s="1468"/>
      <c r="BN63" s="1468"/>
      <c r="BO63" s="1468"/>
      <c r="BP63" s="1468"/>
      <c r="BQ63" s="1468"/>
      <c r="BR63" s="1468"/>
      <c r="BS63" s="1468"/>
      <c r="BT63" s="1468"/>
      <c r="BU63" s="1468"/>
      <c r="BV63" s="1468"/>
      <c r="BW63" s="1468"/>
    </row>
    <row r="64" spans="1:76" s="610" customFormat="1" ht="13.5" customHeight="1" x14ac:dyDescent="0.2">
      <c r="A64" s="3563"/>
      <c r="B64" s="2363" t="s">
        <v>17</v>
      </c>
      <c r="C64" s="3547" t="s">
        <v>78</v>
      </c>
      <c r="D64" s="2324">
        <f t="shared" ref="D64:H66" si="50">+D65</f>
        <v>508867</v>
      </c>
      <c r="E64" s="2325">
        <f t="shared" si="50"/>
        <v>52889</v>
      </c>
      <c r="F64" s="2325">
        <f t="shared" si="50"/>
        <v>124808</v>
      </c>
      <c r="G64" s="2325">
        <f t="shared" si="50"/>
        <v>331170</v>
      </c>
      <c r="H64" s="2364">
        <f t="shared" si="50"/>
        <v>0</v>
      </c>
      <c r="I64" s="2324">
        <f>K64+E64+F64</f>
        <v>184477</v>
      </c>
      <c r="J64" s="2365">
        <v>0</v>
      </c>
      <c r="K64" s="1545">
        <f>K65</f>
        <v>6780</v>
      </c>
      <c r="L64" s="2366">
        <f t="shared" si="46"/>
        <v>2.0472868919286165</v>
      </c>
      <c r="M64" s="2325">
        <f>+K64-G64</f>
        <v>-324390</v>
      </c>
      <c r="N64" s="3559"/>
      <c r="O64" s="1983"/>
      <c r="P64" s="1468"/>
      <c r="Q64" s="1468"/>
      <c r="R64" s="1468"/>
      <c r="S64" s="1468"/>
      <c r="T64" s="1468"/>
      <c r="U64" s="1468"/>
      <c r="V64" s="1468"/>
      <c r="W64" s="1468"/>
      <c r="X64" s="1468"/>
      <c r="Y64" s="1468"/>
      <c r="Z64" s="1468"/>
      <c r="AA64" s="1468"/>
      <c r="AB64" s="1468"/>
      <c r="AC64" s="1468"/>
      <c r="AD64" s="1468"/>
      <c r="AE64" s="1468"/>
      <c r="AF64" s="1468"/>
      <c r="AG64" s="1468"/>
      <c r="AH64" s="1468"/>
      <c r="AI64" s="1468"/>
      <c r="AJ64" s="1468"/>
      <c r="AK64" s="1468"/>
      <c r="AL64" s="1468"/>
      <c r="AM64" s="1468"/>
      <c r="AN64" s="1468"/>
      <c r="AO64" s="1468"/>
      <c r="AP64" s="1468"/>
      <c r="AQ64" s="1468"/>
      <c r="AR64" s="1468"/>
      <c r="AS64" s="1468"/>
      <c r="AT64" s="1468"/>
      <c r="AU64" s="1468"/>
      <c r="AV64" s="1468"/>
      <c r="AW64" s="1468"/>
      <c r="AX64" s="1468"/>
      <c r="AY64" s="1468"/>
      <c r="AZ64" s="1468"/>
      <c r="BA64" s="1468"/>
      <c r="BB64" s="1468"/>
      <c r="BC64" s="1468"/>
      <c r="BD64" s="1468"/>
      <c r="BE64" s="1468"/>
      <c r="BF64" s="1468"/>
      <c r="BG64" s="1468"/>
      <c r="BH64" s="1468"/>
      <c r="BI64" s="1468"/>
      <c r="BJ64" s="1468"/>
      <c r="BK64" s="1468"/>
      <c r="BL64" s="1468"/>
      <c r="BM64" s="1468"/>
      <c r="BN64" s="1468"/>
      <c r="BO64" s="1468"/>
      <c r="BP64" s="1468"/>
      <c r="BQ64" s="1468"/>
      <c r="BR64" s="1468"/>
      <c r="BS64" s="1468"/>
      <c r="BT64" s="1468"/>
      <c r="BU64" s="1468"/>
      <c r="BV64" s="1468"/>
      <c r="BW64" s="1468"/>
    </row>
    <row r="65" spans="1:75" s="610" customFormat="1" ht="14.25" customHeight="1" x14ac:dyDescent="0.2">
      <c r="A65" s="3563"/>
      <c r="B65" s="2367" t="s">
        <v>150</v>
      </c>
      <c r="C65" s="3548"/>
      <c r="D65" s="2319">
        <f>+E65+F65+G65+H65</f>
        <v>508867</v>
      </c>
      <c r="E65" s="1627">
        <v>52889</v>
      </c>
      <c r="F65" s="1627">
        <v>124808</v>
      </c>
      <c r="G65" s="1627">
        <v>331170</v>
      </c>
      <c r="H65" s="2368">
        <v>0</v>
      </c>
      <c r="I65" s="2319">
        <f t="shared" si="30"/>
        <v>184477</v>
      </c>
      <c r="J65" s="2369">
        <v>0</v>
      </c>
      <c r="K65" s="1536">
        <v>6780</v>
      </c>
      <c r="L65" s="2370">
        <f t="shared" si="46"/>
        <v>2.0472868919286165</v>
      </c>
      <c r="M65" s="1627">
        <f>+K65-G65</f>
        <v>-324390</v>
      </c>
      <c r="N65" s="3560"/>
      <c r="O65" s="1983"/>
      <c r="P65" s="1468"/>
      <c r="Q65" s="1468"/>
      <c r="R65" s="1468"/>
      <c r="S65" s="1468"/>
      <c r="T65" s="1468"/>
      <c r="U65" s="1468"/>
      <c r="V65" s="1468"/>
      <c r="W65" s="1468"/>
      <c r="X65" s="1468"/>
      <c r="Y65" s="1468"/>
      <c r="Z65" s="1468"/>
      <c r="AA65" s="1468"/>
      <c r="AB65" s="1468"/>
      <c r="AC65" s="1468"/>
      <c r="AD65" s="1468"/>
      <c r="AE65" s="1468"/>
      <c r="AF65" s="1468"/>
      <c r="AG65" s="1468"/>
      <c r="AH65" s="1468"/>
      <c r="AI65" s="1468"/>
      <c r="AJ65" s="1468"/>
      <c r="AK65" s="1468"/>
      <c r="AL65" s="1468"/>
      <c r="AM65" s="1468"/>
      <c r="AN65" s="1468"/>
      <c r="AO65" s="1468"/>
      <c r="AP65" s="1468"/>
      <c r="AQ65" s="1468"/>
      <c r="AR65" s="1468"/>
      <c r="AS65" s="1468"/>
      <c r="AT65" s="1468"/>
      <c r="AU65" s="1468"/>
      <c r="AV65" s="1468"/>
      <c r="AW65" s="1468"/>
      <c r="AX65" s="1468"/>
      <c r="AY65" s="1468"/>
      <c r="AZ65" s="1468"/>
      <c r="BA65" s="1468"/>
      <c r="BB65" s="1468"/>
      <c r="BC65" s="1468"/>
      <c r="BD65" s="1468"/>
      <c r="BE65" s="1468"/>
      <c r="BF65" s="1468"/>
      <c r="BG65" s="1468"/>
      <c r="BH65" s="1468"/>
      <c r="BI65" s="1468"/>
      <c r="BJ65" s="1468"/>
      <c r="BK65" s="1468"/>
      <c r="BL65" s="1468"/>
      <c r="BM65" s="1468"/>
      <c r="BN65" s="1468"/>
      <c r="BO65" s="1468"/>
      <c r="BP65" s="1468"/>
      <c r="BQ65" s="1468"/>
      <c r="BR65" s="1468"/>
      <c r="BS65" s="1468"/>
      <c r="BT65" s="1468"/>
      <c r="BU65" s="1468"/>
      <c r="BV65" s="1468"/>
      <c r="BW65" s="1468"/>
    </row>
    <row r="66" spans="1:75" s="610" customFormat="1" ht="14.25" customHeight="1" x14ac:dyDescent="0.2">
      <c r="A66" s="2371"/>
      <c r="B66" s="2356" t="s">
        <v>12</v>
      </c>
      <c r="C66" s="3548"/>
      <c r="D66" s="2319">
        <f t="shared" si="50"/>
        <v>1515650</v>
      </c>
      <c r="E66" s="1955">
        <f t="shared" si="50"/>
        <v>0</v>
      </c>
      <c r="F66" s="1955">
        <f t="shared" si="50"/>
        <v>0</v>
      </c>
      <c r="G66" s="1955">
        <f>+G67</f>
        <v>1515650</v>
      </c>
      <c r="H66" s="2368">
        <f t="shared" si="50"/>
        <v>0</v>
      </c>
      <c r="I66" s="2319">
        <f>K66+E66+F66</f>
        <v>0</v>
      </c>
      <c r="J66" s="1540">
        <f>I66/D66*100</f>
        <v>0</v>
      </c>
      <c r="K66" s="1536">
        <f>+K67</f>
        <v>0</v>
      </c>
      <c r="L66" s="1588">
        <f>K66/G66*100</f>
        <v>0</v>
      </c>
      <c r="M66" s="1627">
        <f t="shared" ref="M66:M67" si="51">+K66-G66</f>
        <v>-1515650</v>
      </c>
      <c r="N66" s="2372"/>
      <c r="O66" s="1983"/>
      <c r="P66" s="1468"/>
      <c r="Q66" s="1468"/>
      <c r="R66" s="1468"/>
      <c r="S66" s="1468"/>
      <c r="T66" s="1468"/>
      <c r="U66" s="1468"/>
      <c r="V66" s="1468"/>
      <c r="W66" s="1468"/>
      <c r="X66" s="1468"/>
      <c r="Y66" s="1468"/>
      <c r="Z66" s="1468"/>
      <c r="AA66" s="1468"/>
      <c r="AB66" s="1468"/>
      <c r="AC66" s="1468"/>
      <c r="AD66" s="1468"/>
      <c r="AE66" s="1468"/>
      <c r="AF66" s="1468"/>
      <c r="AG66" s="1468"/>
      <c r="AH66" s="1468"/>
      <c r="AI66" s="1468"/>
      <c r="AJ66" s="1468"/>
      <c r="AK66" s="1468"/>
      <c r="AL66" s="1468"/>
      <c r="AM66" s="1468"/>
      <c r="AN66" s="1468"/>
      <c r="AO66" s="1468"/>
      <c r="AP66" s="1468"/>
      <c r="AQ66" s="1468"/>
      <c r="AR66" s="1468"/>
      <c r="AS66" s="1468"/>
      <c r="AT66" s="1468"/>
      <c r="AU66" s="1468"/>
      <c r="AV66" s="1468"/>
      <c r="AW66" s="1468"/>
      <c r="AX66" s="1468"/>
      <c r="AY66" s="1468"/>
      <c r="AZ66" s="1468"/>
      <c r="BA66" s="1468"/>
      <c r="BB66" s="1468"/>
      <c r="BC66" s="1468"/>
      <c r="BD66" s="1468"/>
      <c r="BE66" s="1468"/>
      <c r="BF66" s="1468"/>
      <c r="BG66" s="1468"/>
      <c r="BH66" s="1468"/>
      <c r="BI66" s="1468"/>
      <c r="BJ66" s="1468"/>
      <c r="BK66" s="1468"/>
      <c r="BL66" s="1468"/>
      <c r="BM66" s="1468"/>
      <c r="BN66" s="1468"/>
      <c r="BO66" s="1468"/>
      <c r="BP66" s="1468"/>
      <c r="BQ66" s="1468"/>
      <c r="BR66" s="1468"/>
      <c r="BS66" s="1468"/>
      <c r="BT66" s="1468"/>
      <c r="BU66" s="1468"/>
      <c r="BV66" s="1468"/>
      <c r="BW66" s="1468"/>
    </row>
    <row r="67" spans="1:75" s="610" customFormat="1" ht="14.25" customHeight="1" thickBot="1" x14ac:dyDescent="0.25">
      <c r="A67" s="2371"/>
      <c r="B67" s="2373" t="s">
        <v>320</v>
      </c>
      <c r="C67" s="3549"/>
      <c r="D67" s="1961">
        <f>+E67+F67+G67+H67</f>
        <v>1515650</v>
      </c>
      <c r="E67" s="2374">
        <v>0</v>
      </c>
      <c r="F67" s="2374">
        <v>0</v>
      </c>
      <c r="G67" s="2374">
        <v>1515650</v>
      </c>
      <c r="H67" s="2375">
        <v>0</v>
      </c>
      <c r="I67" s="1961">
        <f t="shared" si="30"/>
        <v>0</v>
      </c>
      <c r="J67" s="1540">
        <f t="shared" ref="J67" si="52">I67/D67*100</f>
        <v>0</v>
      </c>
      <c r="K67" s="1536">
        <v>0</v>
      </c>
      <c r="L67" s="1958">
        <f t="shared" si="46"/>
        <v>0</v>
      </c>
      <c r="M67" s="1962">
        <f t="shared" si="51"/>
        <v>-1515650</v>
      </c>
      <c r="N67" s="2372"/>
      <c r="O67" s="1983"/>
      <c r="P67" s="1468"/>
      <c r="Q67" s="1468"/>
      <c r="R67" s="1468"/>
      <c r="S67" s="1468"/>
      <c r="T67" s="1468"/>
      <c r="U67" s="1468"/>
      <c r="V67" s="1468"/>
      <c r="W67" s="1468"/>
      <c r="X67" s="1468"/>
      <c r="Y67" s="1468"/>
      <c r="Z67" s="1468"/>
      <c r="AA67" s="1468"/>
      <c r="AB67" s="1468"/>
      <c r="AC67" s="1468"/>
      <c r="AD67" s="1468"/>
      <c r="AE67" s="1468"/>
      <c r="AF67" s="1468"/>
      <c r="AG67" s="1468"/>
      <c r="AH67" s="1468"/>
      <c r="AI67" s="1468"/>
      <c r="AJ67" s="1468"/>
      <c r="AK67" s="1468"/>
      <c r="AL67" s="1468"/>
      <c r="AM67" s="1468"/>
      <c r="AN67" s="1468"/>
      <c r="AO67" s="1468"/>
      <c r="AP67" s="1468"/>
      <c r="AQ67" s="1468"/>
      <c r="AR67" s="1468"/>
      <c r="AS67" s="1468"/>
      <c r="AT67" s="1468"/>
      <c r="AU67" s="1468"/>
      <c r="AV67" s="1468"/>
      <c r="AW67" s="1468"/>
      <c r="AX67" s="1468"/>
      <c r="AY67" s="1468"/>
      <c r="AZ67" s="1468"/>
      <c r="BA67" s="1468"/>
      <c r="BB67" s="1468"/>
      <c r="BC67" s="1468"/>
      <c r="BD67" s="1468"/>
      <c r="BE67" s="1468"/>
      <c r="BF67" s="1468"/>
      <c r="BG67" s="1468"/>
      <c r="BH67" s="1468"/>
      <c r="BI67" s="1468"/>
      <c r="BJ67" s="1468"/>
      <c r="BK67" s="1468"/>
      <c r="BL67" s="1468"/>
      <c r="BM67" s="1468"/>
      <c r="BN67" s="1468"/>
      <c r="BO67" s="1468"/>
      <c r="BP67" s="1468"/>
      <c r="BQ67" s="1468"/>
      <c r="BR67" s="1468"/>
      <c r="BS67" s="1468"/>
      <c r="BT67" s="1468"/>
      <c r="BU67" s="1468"/>
      <c r="BV67" s="1468"/>
      <c r="BW67" s="1468"/>
    </row>
    <row r="68" spans="1:75" s="610" customFormat="1" ht="51.75" customHeight="1" x14ac:dyDescent="0.2">
      <c r="A68" s="3564" t="s">
        <v>43</v>
      </c>
      <c r="B68" s="2376" t="s">
        <v>271</v>
      </c>
      <c r="C68" s="1663" t="s">
        <v>204</v>
      </c>
      <c r="D68" s="2288"/>
      <c r="E68" s="2289"/>
      <c r="F68" s="2289"/>
      <c r="G68" s="2289"/>
      <c r="H68" s="2291"/>
      <c r="I68" s="2288"/>
      <c r="J68" s="2292"/>
      <c r="K68" s="2290"/>
      <c r="L68" s="2377"/>
      <c r="M68" s="2290"/>
      <c r="N68" s="3558" t="s">
        <v>154</v>
      </c>
      <c r="O68" s="1983"/>
      <c r="P68" s="1468"/>
      <c r="Q68" s="1468"/>
      <c r="R68" s="1468"/>
      <c r="S68" s="1468"/>
      <c r="T68" s="1468"/>
      <c r="U68" s="1468"/>
      <c r="V68" s="1468"/>
      <c r="W68" s="1468"/>
      <c r="X68" s="1468"/>
      <c r="Y68" s="1468"/>
      <c r="Z68" s="1468"/>
      <c r="AA68" s="1468"/>
      <c r="AB68" s="1468"/>
      <c r="AC68" s="1468"/>
      <c r="AD68" s="1468"/>
      <c r="AE68" s="1468"/>
      <c r="AF68" s="1468"/>
      <c r="AG68" s="1468"/>
      <c r="AH68" s="1468"/>
      <c r="AI68" s="1468"/>
      <c r="AJ68" s="1468"/>
      <c r="AK68" s="1468"/>
      <c r="AL68" s="1468"/>
      <c r="AM68" s="1468"/>
      <c r="AN68" s="1468"/>
      <c r="AO68" s="1468"/>
      <c r="AP68" s="1468"/>
      <c r="AQ68" s="1468"/>
      <c r="AR68" s="1468"/>
      <c r="AS68" s="1468"/>
      <c r="AT68" s="1468"/>
      <c r="AU68" s="1468"/>
      <c r="AV68" s="1468"/>
      <c r="AW68" s="1468"/>
      <c r="AX68" s="1468"/>
      <c r="AY68" s="1468"/>
      <c r="AZ68" s="1468"/>
      <c r="BA68" s="1468"/>
      <c r="BB68" s="1468"/>
      <c r="BC68" s="1468"/>
      <c r="BD68" s="1468"/>
      <c r="BE68" s="1468"/>
      <c r="BF68" s="1468"/>
      <c r="BG68" s="1468"/>
      <c r="BH68" s="1468"/>
      <c r="BI68" s="1468"/>
      <c r="BJ68" s="1468"/>
      <c r="BK68" s="1468"/>
      <c r="BL68" s="1468"/>
      <c r="BM68" s="1468"/>
      <c r="BN68" s="1468"/>
      <c r="BO68" s="1468"/>
      <c r="BP68" s="1468"/>
      <c r="BQ68" s="1468"/>
      <c r="BR68" s="1468"/>
      <c r="BS68" s="1468"/>
      <c r="BT68" s="1468"/>
      <c r="BU68" s="1468"/>
      <c r="BV68" s="1468"/>
      <c r="BW68" s="1468"/>
    </row>
    <row r="69" spans="1:75" s="610" customFormat="1" ht="13.5" customHeight="1" x14ac:dyDescent="0.2">
      <c r="A69" s="3565"/>
      <c r="B69" s="806" t="s">
        <v>2</v>
      </c>
      <c r="C69" s="1673"/>
      <c r="D69" s="1908">
        <f t="shared" ref="D69" si="53">+D70+D73</f>
        <v>1440511</v>
      </c>
      <c r="E69" s="1797">
        <f>+E70+E73</f>
        <v>1209491</v>
      </c>
      <c r="F69" s="1797">
        <f>+F70+F73</f>
        <v>231020</v>
      </c>
      <c r="G69" s="1797">
        <f>+G70+G73</f>
        <v>0</v>
      </c>
      <c r="H69" s="2279">
        <f>+H70+H73</f>
        <v>0</v>
      </c>
      <c r="I69" s="1908">
        <f>K69+E69+F69-6167-34947</f>
        <v>1399397</v>
      </c>
      <c r="J69" s="1909">
        <f t="shared" ref="J69:J79" si="54">I69/D69*100</f>
        <v>97.145873929459754</v>
      </c>
      <c r="K69" s="1797">
        <f>+K70+K73</f>
        <v>0</v>
      </c>
      <c r="L69" s="2378">
        <v>0</v>
      </c>
      <c r="M69" s="2379">
        <f t="shared" ref="M69:M75" si="55">+K69-G69</f>
        <v>0</v>
      </c>
      <c r="N69" s="3559"/>
      <c r="O69" s="1983"/>
      <c r="P69" s="1468"/>
      <c r="Q69" s="1468"/>
      <c r="R69" s="1468"/>
      <c r="S69" s="1468"/>
      <c r="T69" s="1468"/>
      <c r="U69" s="1468"/>
      <c r="V69" s="1468"/>
      <c r="W69" s="1468"/>
      <c r="X69" s="1468"/>
      <c r="Y69" s="1468"/>
      <c r="Z69" s="1468"/>
      <c r="AA69" s="1468"/>
      <c r="AB69" s="1468"/>
      <c r="AC69" s="1468"/>
      <c r="AD69" s="1468"/>
      <c r="AE69" s="1468"/>
      <c r="AF69" s="1468"/>
      <c r="AG69" s="1468"/>
      <c r="AH69" s="1468"/>
      <c r="AI69" s="1468"/>
      <c r="AJ69" s="1468"/>
      <c r="AK69" s="1468"/>
      <c r="AL69" s="1468"/>
      <c r="AM69" s="1468"/>
      <c r="AN69" s="1468"/>
      <c r="AO69" s="1468"/>
      <c r="AP69" s="1468"/>
      <c r="AQ69" s="1468"/>
      <c r="AR69" s="1468"/>
      <c r="AS69" s="1468"/>
      <c r="AT69" s="1468"/>
      <c r="AU69" s="1468"/>
      <c r="AV69" s="1468"/>
      <c r="AW69" s="1468"/>
      <c r="AX69" s="1468"/>
      <c r="AY69" s="1468"/>
      <c r="AZ69" s="1468"/>
      <c r="BA69" s="1468"/>
      <c r="BB69" s="1468"/>
      <c r="BC69" s="1468"/>
      <c r="BD69" s="1468"/>
      <c r="BE69" s="1468"/>
      <c r="BF69" s="1468"/>
      <c r="BG69" s="1468"/>
      <c r="BH69" s="1468"/>
      <c r="BI69" s="1468"/>
      <c r="BJ69" s="1468"/>
      <c r="BK69" s="1468"/>
      <c r="BL69" s="1468"/>
      <c r="BM69" s="1468"/>
      <c r="BN69" s="1468"/>
      <c r="BO69" s="1468"/>
      <c r="BP69" s="1468"/>
      <c r="BQ69" s="1468"/>
      <c r="BR69" s="1468"/>
      <c r="BS69" s="1468"/>
      <c r="BT69" s="1468"/>
      <c r="BU69" s="1468"/>
      <c r="BV69" s="1468"/>
      <c r="BW69" s="1468"/>
    </row>
    <row r="70" spans="1:75" s="610" customFormat="1" ht="13.5" customHeight="1" x14ac:dyDescent="0.2">
      <c r="A70" s="3565"/>
      <c r="B70" s="786" t="s">
        <v>17</v>
      </c>
      <c r="C70" s="3568" t="s">
        <v>152</v>
      </c>
      <c r="D70" s="1544">
        <f t="shared" ref="D70:E70" si="56">D72+D71</f>
        <v>231931</v>
      </c>
      <c r="E70" s="1545">
        <f t="shared" si="56"/>
        <v>197278</v>
      </c>
      <c r="F70" s="1545">
        <f>F72+F71</f>
        <v>34653</v>
      </c>
      <c r="G70" s="1545">
        <f t="shared" ref="G70:H70" si="57">G72+G71</f>
        <v>0</v>
      </c>
      <c r="H70" s="1545">
        <f t="shared" si="57"/>
        <v>0</v>
      </c>
      <c r="I70" s="1544">
        <f>K70+E70+F70-6167</f>
        <v>225764</v>
      </c>
      <c r="J70" s="1548">
        <f t="shared" si="54"/>
        <v>97.341019527359435</v>
      </c>
      <c r="K70" s="1545">
        <f>K72+K71</f>
        <v>0</v>
      </c>
      <c r="L70" s="2380">
        <v>0</v>
      </c>
      <c r="M70" s="2381">
        <f t="shared" si="55"/>
        <v>0</v>
      </c>
      <c r="N70" s="3559"/>
      <c r="O70" s="1983"/>
      <c r="P70" s="1468"/>
      <c r="Q70" s="1468"/>
      <c r="R70" s="1468"/>
      <c r="S70" s="1468"/>
      <c r="T70" s="1468"/>
      <c r="U70" s="1468"/>
      <c r="V70" s="1468"/>
      <c r="W70" s="1468"/>
      <c r="X70" s="1468"/>
      <c r="Y70" s="1468"/>
      <c r="Z70" s="1468"/>
      <c r="AA70" s="1468"/>
      <c r="AB70" s="1468"/>
      <c r="AC70" s="1468"/>
      <c r="AD70" s="1468"/>
      <c r="AE70" s="1468"/>
      <c r="AF70" s="1468"/>
      <c r="AG70" s="1468"/>
      <c r="AH70" s="1468"/>
      <c r="AI70" s="1468"/>
      <c r="AJ70" s="1468"/>
      <c r="AK70" s="1468"/>
      <c r="AL70" s="1468"/>
      <c r="AM70" s="1468"/>
      <c r="AN70" s="1468"/>
      <c r="AO70" s="1468"/>
      <c r="AP70" s="1468"/>
      <c r="AQ70" s="1468"/>
      <c r="AR70" s="1468"/>
      <c r="AS70" s="1468"/>
      <c r="AT70" s="1468"/>
      <c r="AU70" s="1468"/>
      <c r="AV70" s="1468"/>
      <c r="AW70" s="1468"/>
      <c r="AX70" s="1468"/>
      <c r="AY70" s="1468"/>
      <c r="AZ70" s="1468"/>
      <c r="BA70" s="1468"/>
      <c r="BB70" s="1468"/>
      <c r="BC70" s="1468"/>
      <c r="BD70" s="1468"/>
      <c r="BE70" s="1468"/>
      <c r="BF70" s="1468"/>
      <c r="BG70" s="1468"/>
      <c r="BH70" s="1468"/>
      <c r="BI70" s="1468"/>
      <c r="BJ70" s="1468"/>
      <c r="BK70" s="1468"/>
      <c r="BL70" s="1468"/>
      <c r="BM70" s="1468"/>
      <c r="BN70" s="1468"/>
      <c r="BO70" s="1468"/>
      <c r="BP70" s="1468"/>
      <c r="BQ70" s="1468"/>
      <c r="BR70" s="1468"/>
      <c r="BS70" s="1468"/>
      <c r="BT70" s="1468"/>
      <c r="BU70" s="1468"/>
      <c r="BV70" s="1468"/>
      <c r="BW70" s="1468"/>
    </row>
    <row r="71" spans="1:75" s="610" customFormat="1" ht="13.5" customHeight="1" x14ac:dyDescent="0.2">
      <c r="A71" s="3565"/>
      <c r="B71" s="2382" t="s">
        <v>6</v>
      </c>
      <c r="C71" s="3215"/>
      <c r="D71" s="1535">
        <f>+E71+F71+G71+H71</f>
        <v>97065</v>
      </c>
      <c r="E71" s="1536">
        <f>1566+18570+40064+2212</f>
        <v>62412</v>
      </c>
      <c r="F71" s="1536">
        <v>34653</v>
      </c>
      <c r="G71" s="1536">
        <v>0</v>
      </c>
      <c r="H71" s="1536">
        <v>0</v>
      </c>
      <c r="I71" s="1535">
        <f>K71+E71+F71-6167</f>
        <v>90898</v>
      </c>
      <c r="J71" s="1540">
        <f t="shared" si="54"/>
        <v>93.646525524133324</v>
      </c>
      <c r="K71" s="1536">
        <v>0</v>
      </c>
      <c r="L71" s="1543">
        <v>0</v>
      </c>
      <c r="M71" s="2383">
        <f t="shared" si="55"/>
        <v>0</v>
      </c>
      <c r="N71" s="3559"/>
      <c r="O71" s="1983"/>
      <c r="P71" s="1468"/>
      <c r="Q71" s="1468"/>
      <c r="R71" s="1468"/>
      <c r="S71" s="1468"/>
      <c r="T71" s="1468"/>
      <c r="U71" s="1468"/>
      <c r="V71" s="1468"/>
      <c r="W71" s="1468"/>
      <c r="X71" s="1468"/>
      <c r="Y71" s="1468"/>
      <c r="Z71" s="1468"/>
      <c r="AA71" s="1468"/>
      <c r="AB71" s="1468"/>
      <c r="AC71" s="1468"/>
      <c r="AD71" s="1468"/>
      <c r="AE71" s="1468"/>
      <c r="AF71" s="1468"/>
      <c r="AG71" s="1468"/>
      <c r="AH71" s="1468"/>
      <c r="AI71" s="1468"/>
      <c r="AJ71" s="1468"/>
      <c r="AK71" s="1468"/>
      <c r="AL71" s="1468"/>
      <c r="AM71" s="1468"/>
      <c r="AN71" s="1468"/>
      <c r="AO71" s="1468"/>
      <c r="AP71" s="1468"/>
      <c r="AQ71" s="1468"/>
      <c r="AR71" s="1468"/>
      <c r="AS71" s="1468"/>
      <c r="AT71" s="1468"/>
      <c r="AU71" s="1468"/>
      <c r="AV71" s="1468"/>
      <c r="AW71" s="1468"/>
      <c r="AX71" s="1468"/>
      <c r="AY71" s="1468"/>
      <c r="AZ71" s="1468"/>
      <c r="BA71" s="1468"/>
      <c r="BB71" s="1468"/>
      <c r="BC71" s="1468"/>
      <c r="BD71" s="1468"/>
      <c r="BE71" s="1468"/>
      <c r="BF71" s="1468"/>
      <c r="BG71" s="1468"/>
      <c r="BH71" s="1468"/>
      <c r="BI71" s="1468"/>
      <c r="BJ71" s="1468"/>
      <c r="BK71" s="1468"/>
      <c r="BL71" s="1468"/>
      <c r="BM71" s="1468"/>
      <c r="BN71" s="1468"/>
      <c r="BO71" s="1468"/>
      <c r="BP71" s="1468"/>
      <c r="BQ71" s="1468"/>
      <c r="BR71" s="1468"/>
      <c r="BS71" s="1468"/>
      <c r="BT71" s="1468"/>
      <c r="BU71" s="1468"/>
      <c r="BV71" s="1468"/>
      <c r="BW71" s="1468"/>
    </row>
    <row r="72" spans="1:75" s="610" customFormat="1" ht="13.5" customHeight="1" x14ac:dyDescent="0.2">
      <c r="A72" s="3565"/>
      <c r="B72" s="2382" t="s">
        <v>5</v>
      </c>
      <c r="C72" s="3561"/>
      <c r="D72" s="1535">
        <f>+E72+F72+G72+H72</f>
        <v>134866</v>
      </c>
      <c r="E72" s="1536">
        <f>115154+19712</f>
        <v>134866</v>
      </c>
      <c r="F72" s="1536">
        <v>0</v>
      </c>
      <c r="G72" s="1536">
        <v>0</v>
      </c>
      <c r="H72" s="1536">
        <v>0</v>
      </c>
      <c r="I72" s="1535">
        <f t="shared" si="30"/>
        <v>134866</v>
      </c>
      <c r="J72" s="1540">
        <f t="shared" si="54"/>
        <v>100</v>
      </c>
      <c r="K72" s="1536">
        <v>0</v>
      </c>
      <c r="L72" s="1543">
        <v>0</v>
      </c>
      <c r="M72" s="2383">
        <f t="shared" si="55"/>
        <v>0</v>
      </c>
      <c r="N72" s="3559"/>
      <c r="O72" s="1983"/>
      <c r="P72" s="1468"/>
      <c r="Q72" s="1468"/>
      <c r="R72" s="1468"/>
      <c r="S72" s="1468"/>
      <c r="T72" s="1468"/>
      <c r="U72" s="1468"/>
      <c r="V72" s="1468"/>
      <c r="W72" s="1468"/>
      <c r="X72" s="1468"/>
      <c r="Y72" s="1468"/>
      <c r="Z72" s="1468"/>
      <c r="AA72" s="1468"/>
      <c r="AB72" s="1468"/>
      <c r="AC72" s="1468"/>
      <c r="AD72" s="1468"/>
      <c r="AE72" s="1468"/>
      <c r="AF72" s="1468"/>
      <c r="AG72" s="1468"/>
      <c r="AH72" s="1468"/>
      <c r="AI72" s="1468"/>
      <c r="AJ72" s="1468"/>
      <c r="AK72" s="1468"/>
      <c r="AL72" s="1468"/>
      <c r="AM72" s="1468"/>
      <c r="AN72" s="1468"/>
      <c r="AO72" s="1468"/>
      <c r="AP72" s="1468"/>
      <c r="AQ72" s="1468"/>
      <c r="AR72" s="1468"/>
      <c r="AS72" s="1468"/>
      <c r="AT72" s="1468"/>
      <c r="AU72" s="1468"/>
      <c r="AV72" s="1468"/>
      <c r="AW72" s="1468"/>
      <c r="AX72" s="1468"/>
      <c r="AY72" s="1468"/>
      <c r="AZ72" s="1468"/>
      <c r="BA72" s="1468"/>
      <c r="BB72" s="1468"/>
      <c r="BC72" s="1468"/>
      <c r="BD72" s="1468"/>
      <c r="BE72" s="1468"/>
      <c r="BF72" s="1468"/>
      <c r="BG72" s="1468"/>
      <c r="BH72" s="1468"/>
      <c r="BI72" s="1468"/>
      <c r="BJ72" s="1468"/>
      <c r="BK72" s="1468"/>
      <c r="BL72" s="1468"/>
      <c r="BM72" s="1468"/>
      <c r="BN72" s="1468"/>
      <c r="BO72" s="1468"/>
      <c r="BP72" s="1468"/>
      <c r="BQ72" s="1468"/>
      <c r="BR72" s="1468"/>
      <c r="BS72" s="1468"/>
      <c r="BT72" s="1468"/>
      <c r="BU72" s="1468"/>
      <c r="BV72" s="1468"/>
      <c r="BW72" s="1468"/>
    </row>
    <row r="73" spans="1:75" s="610" customFormat="1" ht="13.5" customHeight="1" x14ac:dyDescent="0.2">
      <c r="A73" s="3565"/>
      <c r="B73" s="795" t="s">
        <v>12</v>
      </c>
      <c r="C73" s="3561"/>
      <c r="D73" s="1544">
        <f t="shared" ref="D73:H73" si="58">+D74</f>
        <v>1208580</v>
      </c>
      <c r="E73" s="1545">
        <f t="shared" si="58"/>
        <v>1012213</v>
      </c>
      <c r="F73" s="1545">
        <f t="shared" si="58"/>
        <v>196367</v>
      </c>
      <c r="G73" s="1545">
        <f t="shared" si="58"/>
        <v>0</v>
      </c>
      <c r="H73" s="1545">
        <f t="shared" si="58"/>
        <v>0</v>
      </c>
      <c r="I73" s="1544">
        <f>K73+E73+F73-34947</f>
        <v>1173633</v>
      </c>
      <c r="J73" s="1548">
        <f t="shared" si="54"/>
        <v>97.108424762944949</v>
      </c>
      <c r="K73" s="1545">
        <f>+K74</f>
        <v>0</v>
      </c>
      <c r="L73" s="1546">
        <v>0</v>
      </c>
      <c r="M73" s="2381">
        <f t="shared" si="55"/>
        <v>0</v>
      </c>
      <c r="N73" s="3559"/>
      <c r="O73" s="1983"/>
      <c r="P73" s="1468"/>
      <c r="Q73" s="1468"/>
      <c r="R73" s="1468"/>
      <c r="S73" s="1468"/>
      <c r="T73" s="1468"/>
      <c r="U73" s="1468"/>
      <c r="V73" s="1468"/>
      <c r="W73" s="1468"/>
      <c r="X73" s="1468"/>
      <c r="Y73" s="1468"/>
      <c r="Z73" s="1468"/>
      <c r="AA73" s="1468"/>
      <c r="AB73" s="1468"/>
      <c r="AC73" s="1468"/>
      <c r="AD73" s="1468"/>
      <c r="AE73" s="1468"/>
      <c r="AF73" s="1468"/>
      <c r="AG73" s="1468"/>
      <c r="AH73" s="1468"/>
      <c r="AI73" s="1468"/>
      <c r="AJ73" s="1468"/>
      <c r="AK73" s="1468"/>
      <c r="AL73" s="1468"/>
      <c r="AM73" s="1468"/>
      <c r="AN73" s="1468"/>
      <c r="AO73" s="1468"/>
      <c r="AP73" s="1468"/>
      <c r="AQ73" s="1468"/>
      <c r="AR73" s="1468"/>
      <c r="AS73" s="1468"/>
      <c r="AT73" s="1468"/>
      <c r="AU73" s="1468"/>
      <c r="AV73" s="1468"/>
      <c r="AW73" s="1468"/>
      <c r="AX73" s="1468"/>
      <c r="AY73" s="1468"/>
      <c r="AZ73" s="1468"/>
      <c r="BA73" s="1468"/>
      <c r="BB73" s="1468"/>
      <c r="BC73" s="1468"/>
      <c r="BD73" s="1468"/>
      <c r="BE73" s="1468"/>
      <c r="BF73" s="1468"/>
      <c r="BG73" s="1468"/>
      <c r="BH73" s="1468"/>
      <c r="BI73" s="1468"/>
      <c r="BJ73" s="1468"/>
      <c r="BK73" s="1468"/>
      <c r="BL73" s="1468"/>
      <c r="BM73" s="1468"/>
      <c r="BN73" s="1468"/>
      <c r="BO73" s="1468"/>
      <c r="BP73" s="1468"/>
      <c r="BQ73" s="1468"/>
      <c r="BR73" s="1468"/>
      <c r="BS73" s="1468"/>
      <c r="BT73" s="1468"/>
      <c r="BU73" s="1468"/>
      <c r="BV73" s="1468"/>
      <c r="BW73" s="1468"/>
    </row>
    <row r="74" spans="1:75" s="610" customFormat="1" ht="13.5" customHeight="1" x14ac:dyDescent="0.2">
      <c r="A74" s="3565"/>
      <c r="B74" s="2384" t="s">
        <v>15</v>
      </c>
      <c r="C74" s="3561"/>
      <c r="D74" s="1535">
        <f>+E74+F74+G74+H74</f>
        <v>1208580</v>
      </c>
      <c r="E74" s="1536">
        <f>114075+774713+123425</f>
        <v>1012213</v>
      </c>
      <c r="F74" s="1536">
        <v>196367</v>
      </c>
      <c r="G74" s="1536">
        <v>0</v>
      </c>
      <c r="H74" s="1536">
        <v>0</v>
      </c>
      <c r="I74" s="1535">
        <f>K74+E74+F74-34947</f>
        <v>1173633</v>
      </c>
      <c r="J74" s="1540">
        <f t="shared" si="54"/>
        <v>97.108424762944949</v>
      </c>
      <c r="K74" s="1950">
        <v>0</v>
      </c>
      <c r="L74" s="1538">
        <v>0</v>
      </c>
      <c r="M74" s="2383">
        <f t="shared" si="55"/>
        <v>0</v>
      </c>
      <c r="N74" s="3559"/>
      <c r="O74" s="1983"/>
      <c r="P74" s="1468"/>
      <c r="Q74" s="1468"/>
      <c r="R74" s="1468"/>
      <c r="S74" s="1468"/>
      <c r="T74" s="1468"/>
      <c r="U74" s="1468"/>
      <c r="V74" s="1468"/>
      <c r="W74" s="1468"/>
      <c r="X74" s="1468"/>
      <c r="Y74" s="1468"/>
      <c r="Z74" s="1468"/>
      <c r="AA74" s="1468"/>
      <c r="AB74" s="1468"/>
      <c r="AC74" s="1468"/>
      <c r="AD74" s="1468"/>
      <c r="AE74" s="1468"/>
      <c r="AF74" s="1468"/>
      <c r="AG74" s="1468"/>
      <c r="AH74" s="1468"/>
      <c r="AI74" s="1468"/>
      <c r="AJ74" s="1468"/>
      <c r="AK74" s="1468"/>
      <c r="AL74" s="1468"/>
      <c r="AM74" s="1468"/>
      <c r="AN74" s="1468"/>
      <c r="AO74" s="1468"/>
      <c r="AP74" s="1468"/>
      <c r="AQ74" s="1468"/>
      <c r="AR74" s="1468"/>
      <c r="AS74" s="1468"/>
      <c r="AT74" s="1468"/>
      <c r="AU74" s="1468"/>
      <c r="AV74" s="1468"/>
      <c r="AW74" s="1468"/>
      <c r="AX74" s="1468"/>
      <c r="AY74" s="1468"/>
      <c r="AZ74" s="1468"/>
      <c r="BA74" s="1468"/>
      <c r="BB74" s="1468"/>
      <c r="BC74" s="1468"/>
      <c r="BD74" s="1468"/>
      <c r="BE74" s="1468"/>
      <c r="BF74" s="1468"/>
      <c r="BG74" s="1468"/>
      <c r="BH74" s="1468"/>
      <c r="BI74" s="1468"/>
      <c r="BJ74" s="1468"/>
      <c r="BK74" s="1468"/>
      <c r="BL74" s="1468"/>
      <c r="BM74" s="1468"/>
      <c r="BN74" s="1468"/>
      <c r="BO74" s="1468"/>
      <c r="BP74" s="1468"/>
      <c r="BQ74" s="1468"/>
      <c r="BR74" s="1468"/>
      <c r="BS74" s="1468"/>
      <c r="BT74" s="1468"/>
      <c r="BU74" s="1468"/>
      <c r="BV74" s="1468"/>
      <c r="BW74" s="1468"/>
    </row>
    <row r="75" spans="1:75" s="610" customFormat="1" ht="13.5" customHeight="1" x14ac:dyDescent="0.2">
      <c r="A75" s="3565"/>
      <c r="B75" s="806" t="s">
        <v>16</v>
      </c>
      <c r="C75" s="1907"/>
      <c r="D75" s="1908">
        <f>D78+D76</f>
        <v>1208580</v>
      </c>
      <c r="E75" s="1797">
        <f>E78</f>
        <v>919090</v>
      </c>
      <c r="F75" s="1797">
        <f>F78</f>
        <v>289490</v>
      </c>
      <c r="G75" s="1797">
        <f>G78</f>
        <v>0</v>
      </c>
      <c r="H75" s="2279">
        <f>H78+H76</f>
        <v>0</v>
      </c>
      <c r="I75" s="1908">
        <f>K75+E75+F75-105071</f>
        <v>1103509</v>
      </c>
      <c r="J75" s="1909">
        <f t="shared" si="54"/>
        <v>91.306243690943091</v>
      </c>
      <c r="K75" s="1943">
        <f>K78</f>
        <v>0</v>
      </c>
      <c r="L75" s="1795">
        <v>0</v>
      </c>
      <c r="M75" s="2379">
        <f t="shared" si="55"/>
        <v>0</v>
      </c>
      <c r="N75" s="3559"/>
      <c r="O75" s="1983"/>
      <c r="P75" s="1468"/>
      <c r="Q75" s="1468"/>
      <c r="R75" s="1468"/>
      <c r="S75" s="1468"/>
      <c r="T75" s="1468"/>
      <c r="U75" s="1468"/>
      <c r="V75" s="1468"/>
      <c r="W75" s="1468"/>
      <c r="X75" s="1468"/>
      <c r="Y75" s="1468"/>
      <c r="Z75" s="1468"/>
      <c r="AA75" s="1468"/>
      <c r="AB75" s="1468"/>
      <c r="AC75" s="1468"/>
      <c r="AD75" s="1468"/>
      <c r="AE75" s="1468"/>
      <c r="AF75" s="1468"/>
      <c r="AG75" s="1468"/>
      <c r="AH75" s="1468"/>
      <c r="AI75" s="1468"/>
      <c r="AJ75" s="1468"/>
      <c r="AK75" s="1468"/>
      <c r="AL75" s="1468"/>
      <c r="AM75" s="1468"/>
      <c r="AN75" s="1468"/>
      <c r="AO75" s="1468"/>
      <c r="AP75" s="1468"/>
      <c r="AQ75" s="1468"/>
      <c r="AR75" s="1468"/>
      <c r="AS75" s="1468"/>
      <c r="AT75" s="1468"/>
      <c r="AU75" s="1468"/>
      <c r="AV75" s="1468"/>
      <c r="AW75" s="1468"/>
      <c r="AX75" s="1468"/>
      <c r="AY75" s="1468"/>
      <c r="AZ75" s="1468"/>
      <c r="BA75" s="1468"/>
      <c r="BB75" s="1468"/>
      <c r="BC75" s="1468"/>
      <c r="BD75" s="1468"/>
      <c r="BE75" s="1468"/>
      <c r="BF75" s="1468"/>
      <c r="BG75" s="1468"/>
      <c r="BH75" s="1468"/>
      <c r="BI75" s="1468"/>
      <c r="BJ75" s="1468"/>
      <c r="BK75" s="1468"/>
      <c r="BL75" s="1468"/>
      <c r="BM75" s="1468"/>
      <c r="BN75" s="1468"/>
      <c r="BO75" s="1468"/>
      <c r="BP75" s="1468"/>
      <c r="BQ75" s="1468"/>
      <c r="BR75" s="1468"/>
      <c r="BS75" s="1468"/>
      <c r="BT75" s="1468"/>
      <c r="BU75" s="1468"/>
      <c r="BV75" s="1468"/>
      <c r="BW75" s="1468"/>
    </row>
    <row r="76" spans="1:75" s="610" customFormat="1" ht="13.5" hidden="1" customHeight="1" x14ac:dyDescent="0.2">
      <c r="A76" s="3565"/>
      <c r="B76" s="2385" t="s">
        <v>17</v>
      </c>
      <c r="C76" s="2344"/>
      <c r="D76" s="2386">
        <f t="shared" ref="D76" si="59">+D77</f>
        <v>0</v>
      </c>
      <c r="E76" s="2365">
        <f t="shared" ref="E76:H76" si="60">+E77</f>
        <v>0</v>
      </c>
      <c r="F76" s="2365">
        <f t="shared" si="60"/>
        <v>0</v>
      </c>
      <c r="G76" s="2365">
        <f t="shared" si="60"/>
        <v>0</v>
      </c>
      <c r="H76" s="2387">
        <f t="shared" si="60"/>
        <v>0</v>
      </c>
      <c r="I76" s="2386">
        <f t="shared" si="30"/>
        <v>0</v>
      </c>
      <c r="J76" s="2365" t="e">
        <f t="shared" si="54"/>
        <v>#DIV/0!</v>
      </c>
      <c r="K76" s="2388">
        <f>+K77</f>
        <v>0</v>
      </c>
      <c r="L76" s="2389" t="e">
        <f>K76/G76*100</f>
        <v>#DIV/0!</v>
      </c>
      <c r="M76" s="2390">
        <f t="shared" ref="M76:M77" si="61">+K76-G76*0.5</f>
        <v>0</v>
      </c>
      <c r="N76" s="3559"/>
      <c r="O76" s="1983"/>
      <c r="P76" s="1468"/>
      <c r="Q76" s="1468"/>
      <c r="R76" s="1468"/>
      <c r="S76" s="1468"/>
      <c r="T76" s="1468"/>
      <c r="U76" s="1468"/>
      <c r="V76" s="1468"/>
      <c r="W76" s="1468"/>
      <c r="X76" s="1468"/>
      <c r="Y76" s="1468"/>
      <c r="Z76" s="1468"/>
      <c r="AA76" s="1468"/>
      <c r="AB76" s="1468"/>
      <c r="AC76" s="1468"/>
      <c r="AD76" s="1468"/>
      <c r="AE76" s="1468"/>
      <c r="AF76" s="1468"/>
      <c r="AG76" s="1468"/>
      <c r="AH76" s="1468"/>
      <c r="AI76" s="1468"/>
      <c r="AJ76" s="1468"/>
      <c r="AK76" s="1468"/>
      <c r="AL76" s="1468"/>
      <c r="AM76" s="1468"/>
      <c r="AN76" s="1468"/>
      <c r="AO76" s="1468"/>
      <c r="AP76" s="1468"/>
      <c r="AQ76" s="1468"/>
      <c r="AR76" s="1468"/>
      <c r="AS76" s="1468"/>
      <c r="AT76" s="1468"/>
      <c r="AU76" s="1468"/>
      <c r="AV76" s="1468"/>
      <c r="AW76" s="1468"/>
      <c r="AX76" s="1468"/>
      <c r="AY76" s="1468"/>
      <c r="AZ76" s="1468"/>
      <c r="BA76" s="1468"/>
      <c r="BB76" s="1468"/>
      <c r="BC76" s="1468"/>
      <c r="BD76" s="1468"/>
      <c r="BE76" s="1468"/>
      <c r="BF76" s="1468"/>
      <c r="BG76" s="1468"/>
      <c r="BH76" s="1468"/>
      <c r="BI76" s="1468"/>
      <c r="BJ76" s="1468"/>
      <c r="BK76" s="1468"/>
      <c r="BL76" s="1468"/>
      <c r="BM76" s="1468"/>
      <c r="BN76" s="1468"/>
      <c r="BO76" s="1468"/>
      <c r="BP76" s="1468"/>
      <c r="BQ76" s="1468"/>
      <c r="BR76" s="1468"/>
      <c r="BS76" s="1468"/>
      <c r="BT76" s="1468"/>
      <c r="BU76" s="1468"/>
      <c r="BV76" s="1468"/>
      <c r="BW76" s="1468"/>
    </row>
    <row r="77" spans="1:75" s="610" customFormat="1" ht="12.75" hidden="1" customHeight="1" x14ac:dyDescent="0.2">
      <c r="A77" s="3565"/>
      <c r="B77" s="2391" t="s">
        <v>150</v>
      </c>
      <c r="C77" s="2344"/>
      <c r="D77" s="2392">
        <f>+E77+F77+G77+H77</f>
        <v>0</v>
      </c>
      <c r="E77" s="2369">
        <v>0</v>
      </c>
      <c r="F77" s="2369">
        <v>0</v>
      </c>
      <c r="G77" s="2369">
        <v>0</v>
      </c>
      <c r="H77" s="2387">
        <v>0</v>
      </c>
      <c r="I77" s="2386">
        <f t="shared" si="30"/>
        <v>0</v>
      </c>
      <c r="J77" s="2365" t="e">
        <f t="shared" si="54"/>
        <v>#DIV/0!</v>
      </c>
      <c r="K77" s="2388">
        <v>0</v>
      </c>
      <c r="L77" s="2389" t="e">
        <f>K77/G77*100</f>
        <v>#DIV/0!</v>
      </c>
      <c r="M77" s="2393">
        <f t="shared" si="61"/>
        <v>0</v>
      </c>
      <c r="N77" s="3559"/>
      <c r="O77" s="1983"/>
      <c r="P77" s="1468"/>
      <c r="Q77" s="1468"/>
      <c r="R77" s="1468"/>
      <c r="S77" s="1468"/>
      <c r="T77" s="1468"/>
      <c r="U77" s="1468"/>
      <c r="V77" s="1468"/>
      <c r="W77" s="1468"/>
      <c r="X77" s="1468"/>
      <c r="Y77" s="1468"/>
      <c r="Z77" s="1468"/>
      <c r="AA77" s="1468"/>
      <c r="AB77" s="1468"/>
      <c r="AC77" s="1468"/>
      <c r="AD77" s="1468"/>
      <c r="AE77" s="1468"/>
      <c r="AF77" s="1468"/>
      <c r="AG77" s="1468"/>
      <c r="AH77" s="1468"/>
      <c r="AI77" s="1468"/>
      <c r="AJ77" s="1468"/>
      <c r="AK77" s="1468"/>
      <c r="AL77" s="1468"/>
      <c r="AM77" s="1468"/>
      <c r="AN77" s="1468"/>
      <c r="AO77" s="1468"/>
      <c r="AP77" s="1468"/>
      <c r="AQ77" s="1468"/>
      <c r="AR77" s="1468"/>
      <c r="AS77" s="1468"/>
      <c r="AT77" s="1468"/>
      <c r="AU77" s="1468"/>
      <c r="AV77" s="1468"/>
      <c r="AW77" s="1468"/>
      <c r="AX77" s="1468"/>
      <c r="AY77" s="1468"/>
      <c r="AZ77" s="1468"/>
      <c r="BA77" s="1468"/>
      <c r="BB77" s="1468"/>
      <c r="BC77" s="1468"/>
      <c r="BD77" s="1468"/>
      <c r="BE77" s="1468"/>
      <c r="BF77" s="1468"/>
      <c r="BG77" s="1468"/>
      <c r="BH77" s="1468"/>
      <c r="BI77" s="1468"/>
      <c r="BJ77" s="1468"/>
      <c r="BK77" s="1468"/>
      <c r="BL77" s="1468"/>
      <c r="BM77" s="1468"/>
      <c r="BN77" s="1468"/>
      <c r="BO77" s="1468"/>
      <c r="BP77" s="1468"/>
      <c r="BQ77" s="1468"/>
      <c r="BR77" s="1468"/>
      <c r="BS77" s="1468"/>
      <c r="BT77" s="1468"/>
      <c r="BU77" s="1468"/>
      <c r="BV77" s="1468"/>
      <c r="BW77" s="1468"/>
    </row>
    <row r="78" spans="1:75" s="610" customFormat="1" ht="13.5" customHeight="1" x14ac:dyDescent="0.2">
      <c r="A78" s="3565"/>
      <c r="B78" s="253" t="s">
        <v>12</v>
      </c>
      <c r="C78" s="3568" t="s">
        <v>127</v>
      </c>
      <c r="D78" s="2394">
        <f>+D79</f>
        <v>1208580</v>
      </c>
      <c r="E78" s="2395">
        <f t="shared" ref="E78:F78" si="62">+E79</f>
        <v>919090</v>
      </c>
      <c r="F78" s="2395">
        <f t="shared" si="62"/>
        <v>289490</v>
      </c>
      <c r="G78" s="2396">
        <f>+G79</f>
        <v>0</v>
      </c>
      <c r="H78" s="1545">
        <f>+H79</f>
        <v>0</v>
      </c>
      <c r="I78" s="1544">
        <f>K78+E78+F78-105071</f>
        <v>1103509</v>
      </c>
      <c r="J78" s="2397">
        <f t="shared" si="54"/>
        <v>91.306243690943091</v>
      </c>
      <c r="K78" s="1946">
        <f>+K79</f>
        <v>0</v>
      </c>
      <c r="L78" s="1538">
        <v>0</v>
      </c>
      <c r="M78" s="2381">
        <f>+K78-G78</f>
        <v>0</v>
      </c>
      <c r="N78" s="3559"/>
      <c r="O78" s="1983"/>
      <c r="P78" s="1468"/>
      <c r="Q78" s="1468"/>
      <c r="R78" s="1468"/>
      <c r="S78" s="1468"/>
      <c r="T78" s="1468"/>
      <c r="U78" s="1468"/>
      <c r="V78" s="1468"/>
      <c r="W78" s="1468"/>
      <c r="X78" s="1468"/>
      <c r="Y78" s="1468"/>
      <c r="Z78" s="1468"/>
      <c r="AA78" s="1468"/>
      <c r="AB78" s="1468"/>
      <c r="AC78" s="1468"/>
      <c r="AD78" s="1468"/>
      <c r="AE78" s="1468"/>
      <c r="AF78" s="1468"/>
      <c r="AG78" s="1468"/>
      <c r="AH78" s="1468"/>
      <c r="AI78" s="1468"/>
      <c r="AJ78" s="1468"/>
      <c r="AK78" s="1468"/>
      <c r="AL78" s="1468"/>
      <c r="AM78" s="1468"/>
      <c r="AN78" s="1468"/>
      <c r="AO78" s="1468"/>
      <c r="AP78" s="1468"/>
      <c r="AQ78" s="1468"/>
      <c r="AR78" s="1468"/>
      <c r="AS78" s="1468"/>
      <c r="AT78" s="1468"/>
      <c r="AU78" s="1468"/>
      <c r="AV78" s="1468"/>
      <c r="AW78" s="1468"/>
      <c r="AX78" s="1468"/>
      <c r="AY78" s="1468"/>
      <c r="AZ78" s="1468"/>
      <c r="BA78" s="1468"/>
      <c r="BB78" s="1468"/>
      <c r="BC78" s="1468"/>
      <c r="BD78" s="1468"/>
      <c r="BE78" s="1468"/>
      <c r="BF78" s="1468"/>
      <c r="BG78" s="1468"/>
      <c r="BH78" s="1468"/>
      <c r="BI78" s="1468"/>
      <c r="BJ78" s="1468"/>
      <c r="BK78" s="1468"/>
      <c r="BL78" s="1468"/>
      <c r="BM78" s="1468"/>
      <c r="BN78" s="1468"/>
      <c r="BO78" s="1468"/>
      <c r="BP78" s="1468"/>
      <c r="BQ78" s="1468"/>
      <c r="BR78" s="1468"/>
      <c r="BS78" s="1468"/>
      <c r="BT78" s="1468"/>
      <c r="BU78" s="1468"/>
      <c r="BV78" s="1468"/>
      <c r="BW78" s="1468"/>
    </row>
    <row r="79" spans="1:75" s="610" customFormat="1" ht="13.5" customHeight="1" thickBot="1" x14ac:dyDescent="0.25">
      <c r="A79" s="3566"/>
      <c r="B79" s="2398" t="s">
        <v>15</v>
      </c>
      <c r="C79" s="3569"/>
      <c r="D79" s="1961">
        <f>+E79+F79+G79+H79</f>
        <v>1208580</v>
      </c>
      <c r="E79" s="1962">
        <f>124295+794795</f>
        <v>919090</v>
      </c>
      <c r="F79" s="1962">
        <v>289490</v>
      </c>
      <c r="G79" s="1962">
        <v>0</v>
      </c>
      <c r="H79" s="1560">
        <v>0</v>
      </c>
      <c r="I79" s="1961">
        <f>K79+E79+F79-105071</f>
        <v>1103509</v>
      </c>
      <c r="J79" s="2399">
        <f t="shared" si="54"/>
        <v>91.306243690943091</v>
      </c>
      <c r="K79" s="1962">
        <v>0</v>
      </c>
      <c r="L79" s="2400">
        <v>0</v>
      </c>
      <c r="M79" s="1962">
        <f>+K79-G79</f>
        <v>0</v>
      </c>
      <c r="N79" s="3567"/>
      <c r="O79" s="1983"/>
      <c r="P79" s="1468"/>
      <c r="Q79" s="1468"/>
      <c r="R79" s="1468"/>
      <c r="S79" s="1468"/>
      <c r="T79" s="1468"/>
      <c r="U79" s="1468"/>
      <c r="V79" s="1468"/>
      <c r="W79" s="1468"/>
      <c r="X79" s="1468"/>
      <c r="Y79" s="1468"/>
      <c r="Z79" s="1468"/>
      <c r="AA79" s="1468"/>
      <c r="AB79" s="1468"/>
      <c r="AC79" s="1468"/>
      <c r="AD79" s="1468"/>
      <c r="AE79" s="1468"/>
      <c r="AF79" s="1468"/>
      <c r="AG79" s="1468"/>
      <c r="AH79" s="1468"/>
      <c r="AI79" s="1468"/>
      <c r="AJ79" s="1468"/>
      <c r="AK79" s="1468"/>
      <c r="AL79" s="1468"/>
      <c r="AM79" s="1468"/>
      <c r="AN79" s="1468"/>
      <c r="AO79" s="1468"/>
      <c r="AP79" s="1468"/>
      <c r="AQ79" s="1468"/>
      <c r="AR79" s="1468"/>
      <c r="AS79" s="1468"/>
      <c r="AT79" s="1468"/>
      <c r="AU79" s="1468"/>
      <c r="AV79" s="1468"/>
      <c r="AW79" s="1468"/>
      <c r="AX79" s="1468"/>
      <c r="AY79" s="1468"/>
      <c r="AZ79" s="1468"/>
      <c r="BA79" s="1468"/>
      <c r="BB79" s="1468"/>
      <c r="BC79" s="1468"/>
      <c r="BD79" s="1468"/>
      <c r="BE79" s="1468"/>
      <c r="BF79" s="1468"/>
      <c r="BG79" s="1468"/>
      <c r="BH79" s="1468"/>
      <c r="BI79" s="1468"/>
      <c r="BJ79" s="1468"/>
      <c r="BK79" s="1468"/>
      <c r="BL79" s="1468"/>
      <c r="BM79" s="1468"/>
      <c r="BN79" s="1468"/>
      <c r="BO79" s="1468"/>
      <c r="BP79" s="1468"/>
      <c r="BQ79" s="1468"/>
      <c r="BR79" s="1468"/>
      <c r="BS79" s="1468"/>
      <c r="BT79" s="1468"/>
      <c r="BU79" s="1468"/>
      <c r="BV79" s="1468"/>
      <c r="BW79" s="1468"/>
    </row>
    <row r="80" spans="1:75" s="610" customFormat="1" ht="39" customHeight="1" x14ac:dyDescent="0.2">
      <c r="A80" s="3550" t="s">
        <v>371</v>
      </c>
      <c r="B80" s="2376" t="s">
        <v>158</v>
      </c>
      <c r="C80" s="1663" t="s">
        <v>204</v>
      </c>
      <c r="D80" s="2288"/>
      <c r="E80" s="2289"/>
      <c r="F80" s="2289"/>
      <c r="G80" s="2289"/>
      <c r="H80" s="2316"/>
      <c r="I80" s="2288"/>
      <c r="J80" s="2292"/>
      <c r="K80" s="2290"/>
      <c r="L80" s="2351"/>
      <c r="M80" s="2290"/>
      <c r="N80" s="3553" t="s">
        <v>159</v>
      </c>
      <c r="O80" s="1983"/>
      <c r="P80" s="1468"/>
      <c r="Q80" s="1468"/>
      <c r="R80" s="1468"/>
      <c r="S80" s="1468"/>
      <c r="T80" s="1468"/>
      <c r="U80" s="1468"/>
      <c r="V80" s="1468"/>
      <c r="W80" s="1468"/>
      <c r="X80" s="1468"/>
      <c r="Y80" s="1468"/>
      <c r="Z80" s="1468"/>
      <c r="AA80" s="1468"/>
      <c r="AB80" s="1468"/>
      <c r="AC80" s="1468"/>
      <c r="AD80" s="1468"/>
      <c r="AE80" s="1468"/>
      <c r="AF80" s="1468"/>
      <c r="AG80" s="1468"/>
      <c r="AH80" s="1468"/>
      <c r="AI80" s="1468"/>
      <c r="AJ80" s="1468"/>
      <c r="AK80" s="1468"/>
      <c r="AL80" s="1468"/>
      <c r="AM80" s="1468"/>
      <c r="AN80" s="1468"/>
      <c r="AO80" s="1468"/>
      <c r="AP80" s="1468"/>
      <c r="AQ80" s="1468"/>
      <c r="AR80" s="1468"/>
      <c r="AS80" s="1468"/>
      <c r="AT80" s="1468"/>
      <c r="AU80" s="1468"/>
      <c r="AV80" s="1468"/>
      <c r="AW80" s="1468"/>
      <c r="AX80" s="1468"/>
      <c r="AY80" s="1468"/>
      <c r="AZ80" s="1468"/>
      <c r="BA80" s="1468"/>
      <c r="BB80" s="1468"/>
      <c r="BC80" s="1468"/>
      <c r="BD80" s="1468"/>
      <c r="BE80" s="1468"/>
      <c r="BF80" s="1468"/>
      <c r="BG80" s="1468"/>
      <c r="BH80" s="1468"/>
      <c r="BI80" s="1468"/>
      <c r="BJ80" s="1468"/>
      <c r="BK80" s="1468"/>
      <c r="BL80" s="1468"/>
      <c r="BM80" s="1468"/>
      <c r="BN80" s="1468"/>
      <c r="BO80" s="1468"/>
      <c r="BP80" s="1468"/>
      <c r="BQ80" s="1468"/>
      <c r="BR80" s="1468"/>
      <c r="BS80" s="1468"/>
      <c r="BT80" s="1468"/>
      <c r="BU80" s="1468"/>
      <c r="BV80" s="1468"/>
      <c r="BW80" s="1468"/>
    </row>
    <row r="81" spans="1:75" s="610" customFormat="1" ht="13.5" customHeight="1" x14ac:dyDescent="0.2">
      <c r="A81" s="3551"/>
      <c r="B81" s="806" t="s">
        <v>2</v>
      </c>
      <c r="C81" s="1907"/>
      <c r="D81" s="1908">
        <f>+D82+D85</f>
        <v>24935520</v>
      </c>
      <c r="E81" s="1797">
        <f>+E82+E85</f>
        <v>145091</v>
      </c>
      <c r="F81" s="1797">
        <f>F82+F85</f>
        <v>394112</v>
      </c>
      <c r="G81" s="1797">
        <f>+G82+G85</f>
        <v>24396317</v>
      </c>
      <c r="H81" s="2279">
        <f>+H82+H85</f>
        <v>0</v>
      </c>
      <c r="I81" s="1908">
        <f>K81+E81+F81</f>
        <v>633142</v>
      </c>
      <c r="J81" s="1909">
        <f>I81/D81*100</f>
        <v>2.5391168902834194</v>
      </c>
      <c r="K81" s="1797">
        <f>+K82+K85</f>
        <v>93939</v>
      </c>
      <c r="L81" s="1485">
        <f>K81/G81*100</f>
        <v>0.38505402270350891</v>
      </c>
      <c r="M81" s="1797">
        <f t="shared" ref="M81:M91" si="63">+K81-G81</f>
        <v>-24302378</v>
      </c>
      <c r="N81" s="3554"/>
      <c r="O81" s="1983"/>
      <c r="P81" s="1468"/>
      <c r="Q81" s="1468"/>
      <c r="R81" s="1468"/>
      <c r="S81" s="1468"/>
      <c r="T81" s="1468"/>
      <c r="U81" s="1468"/>
      <c r="V81" s="1468"/>
      <c r="W81" s="1468"/>
      <c r="X81" s="1468"/>
      <c r="Y81" s="1468"/>
      <c r="Z81" s="1468"/>
      <c r="AA81" s="1468"/>
      <c r="AB81" s="1468"/>
      <c r="AC81" s="1468"/>
      <c r="AD81" s="1468"/>
      <c r="AE81" s="1468"/>
      <c r="AF81" s="1468"/>
      <c r="AG81" s="1468"/>
      <c r="AH81" s="1468"/>
      <c r="AI81" s="1468"/>
      <c r="AJ81" s="1468"/>
      <c r="AK81" s="1468"/>
      <c r="AL81" s="1468"/>
      <c r="AM81" s="1468"/>
      <c r="AN81" s="1468"/>
      <c r="AO81" s="1468"/>
      <c r="AP81" s="1468"/>
      <c r="AQ81" s="1468"/>
      <c r="AR81" s="1468"/>
      <c r="AS81" s="1468"/>
      <c r="AT81" s="1468"/>
      <c r="AU81" s="1468"/>
      <c r="AV81" s="1468"/>
      <c r="AW81" s="1468"/>
      <c r="AX81" s="1468"/>
      <c r="AY81" s="1468"/>
      <c r="AZ81" s="1468"/>
      <c r="BA81" s="1468"/>
      <c r="BB81" s="1468"/>
      <c r="BC81" s="1468"/>
      <c r="BD81" s="1468"/>
      <c r="BE81" s="1468"/>
      <c r="BF81" s="1468"/>
      <c r="BG81" s="1468"/>
      <c r="BH81" s="1468"/>
      <c r="BI81" s="1468"/>
      <c r="BJ81" s="1468"/>
      <c r="BK81" s="1468"/>
      <c r="BL81" s="1468"/>
      <c r="BM81" s="1468"/>
      <c r="BN81" s="1468"/>
      <c r="BO81" s="1468"/>
      <c r="BP81" s="1468"/>
      <c r="BQ81" s="1468"/>
      <c r="BR81" s="1468"/>
      <c r="BS81" s="1468"/>
      <c r="BT81" s="1468"/>
      <c r="BU81" s="1468"/>
      <c r="BV81" s="1468"/>
      <c r="BW81" s="1468"/>
    </row>
    <row r="82" spans="1:75" s="610" customFormat="1" ht="13.5" customHeight="1" x14ac:dyDescent="0.2">
      <c r="A82" s="3551"/>
      <c r="B82" s="786" t="s">
        <v>17</v>
      </c>
      <c r="C82" s="3215" t="s">
        <v>160</v>
      </c>
      <c r="D82" s="2401">
        <f t="shared" ref="D82:H82" si="64">D84+D83</f>
        <v>9730935</v>
      </c>
      <c r="E82" s="1643">
        <f t="shared" si="64"/>
        <v>145091</v>
      </c>
      <c r="F82" s="1643">
        <f t="shared" si="64"/>
        <v>73696</v>
      </c>
      <c r="G82" s="1643">
        <f t="shared" si="64"/>
        <v>9512148</v>
      </c>
      <c r="H82" s="1644">
        <f t="shared" si="64"/>
        <v>0</v>
      </c>
      <c r="I82" s="2401">
        <f t="shared" si="30"/>
        <v>247080</v>
      </c>
      <c r="J82" s="2402">
        <f>I82/D82*100</f>
        <v>2.5391187999919844</v>
      </c>
      <c r="K82" s="1643">
        <f>K84+K83</f>
        <v>28293</v>
      </c>
      <c r="L82" s="2403">
        <f>K82/G82*100</f>
        <v>0.29744070424471947</v>
      </c>
      <c r="M82" s="1643">
        <f t="shared" si="63"/>
        <v>-9483855</v>
      </c>
      <c r="N82" s="3554"/>
      <c r="O82" s="1983"/>
      <c r="P82" s="1468"/>
      <c r="Q82" s="1468"/>
      <c r="R82" s="1468"/>
      <c r="S82" s="1468"/>
      <c r="T82" s="1468"/>
      <c r="U82" s="1468"/>
      <c r="V82" s="1468"/>
      <c r="W82" s="1468"/>
      <c r="X82" s="1468"/>
      <c r="Y82" s="1468"/>
      <c r="Z82" s="1468"/>
      <c r="AA82" s="1468"/>
      <c r="AB82" s="1468"/>
      <c r="AC82" s="1468"/>
      <c r="AD82" s="1468"/>
      <c r="AE82" s="1468"/>
      <c r="AF82" s="1468"/>
      <c r="AG82" s="1468"/>
      <c r="AH82" s="1468"/>
      <c r="AI82" s="1468"/>
      <c r="AJ82" s="1468"/>
      <c r="AK82" s="1468"/>
      <c r="AL82" s="1468"/>
      <c r="AM82" s="1468"/>
      <c r="AN82" s="1468"/>
      <c r="AO82" s="1468"/>
      <c r="AP82" s="1468"/>
      <c r="AQ82" s="1468"/>
      <c r="AR82" s="1468"/>
      <c r="AS82" s="1468"/>
      <c r="AT82" s="1468"/>
      <c r="AU82" s="1468"/>
      <c r="AV82" s="1468"/>
      <c r="AW82" s="1468"/>
      <c r="AX82" s="1468"/>
      <c r="AY82" s="1468"/>
      <c r="AZ82" s="1468"/>
      <c r="BA82" s="1468"/>
      <c r="BB82" s="1468"/>
      <c r="BC82" s="1468"/>
      <c r="BD82" s="1468"/>
      <c r="BE82" s="1468"/>
      <c r="BF82" s="1468"/>
      <c r="BG82" s="1468"/>
      <c r="BH82" s="1468"/>
      <c r="BI82" s="1468"/>
      <c r="BJ82" s="1468"/>
      <c r="BK82" s="1468"/>
      <c r="BL82" s="1468"/>
      <c r="BM82" s="1468"/>
      <c r="BN82" s="1468"/>
      <c r="BO82" s="1468"/>
      <c r="BP82" s="1468"/>
      <c r="BQ82" s="1468"/>
      <c r="BR82" s="1468"/>
      <c r="BS82" s="1468"/>
      <c r="BT82" s="1468"/>
      <c r="BU82" s="1468"/>
      <c r="BV82" s="1468"/>
      <c r="BW82" s="1468"/>
    </row>
    <row r="83" spans="1:75" s="610" customFormat="1" ht="13.5" customHeight="1" x14ac:dyDescent="0.2">
      <c r="A83" s="3551"/>
      <c r="B83" s="2404" t="s">
        <v>6</v>
      </c>
      <c r="C83" s="3215"/>
      <c r="D83" s="2319">
        <f>+E83+F83+G83+H83</f>
        <v>0</v>
      </c>
      <c r="E83" s="2393">
        <v>0</v>
      </c>
      <c r="F83" s="2393">
        <v>0</v>
      </c>
      <c r="G83" s="1627">
        <v>0</v>
      </c>
      <c r="H83" s="1627">
        <v>0</v>
      </c>
      <c r="I83" s="2319">
        <f t="shared" si="30"/>
        <v>28293</v>
      </c>
      <c r="J83" s="2405">
        <v>0</v>
      </c>
      <c r="K83" s="1627">
        <v>28293</v>
      </c>
      <c r="L83" s="2406">
        <v>0</v>
      </c>
      <c r="M83" s="1627">
        <f t="shared" si="63"/>
        <v>28293</v>
      </c>
      <c r="N83" s="3554"/>
      <c r="O83" s="1983"/>
      <c r="P83" s="1468"/>
      <c r="Q83" s="1468"/>
      <c r="R83" s="1468"/>
      <c r="S83" s="1468"/>
      <c r="T83" s="1468"/>
      <c r="U83" s="1468"/>
      <c r="V83" s="1468"/>
      <c r="W83" s="1468"/>
      <c r="X83" s="1468"/>
      <c r="Y83" s="1468"/>
      <c r="Z83" s="1468"/>
      <c r="AA83" s="1468"/>
      <c r="AB83" s="1468"/>
      <c r="AC83" s="1468"/>
      <c r="AD83" s="1468"/>
      <c r="AE83" s="1468"/>
      <c r="AF83" s="1468"/>
      <c r="AG83" s="1468"/>
      <c r="AH83" s="1468"/>
      <c r="AI83" s="1468"/>
      <c r="AJ83" s="1468"/>
      <c r="AK83" s="1468"/>
      <c r="AL83" s="1468"/>
      <c r="AM83" s="1468"/>
      <c r="AN83" s="1468"/>
      <c r="AO83" s="1468"/>
      <c r="AP83" s="1468"/>
      <c r="AQ83" s="1468"/>
      <c r="AR83" s="1468"/>
      <c r="AS83" s="1468"/>
      <c r="AT83" s="1468"/>
      <c r="AU83" s="1468"/>
      <c r="AV83" s="1468"/>
      <c r="AW83" s="1468"/>
      <c r="AX83" s="1468"/>
      <c r="AY83" s="1468"/>
      <c r="AZ83" s="1468"/>
      <c r="BA83" s="1468"/>
      <c r="BB83" s="1468"/>
      <c r="BC83" s="1468"/>
      <c r="BD83" s="1468"/>
      <c r="BE83" s="1468"/>
      <c r="BF83" s="1468"/>
      <c r="BG83" s="1468"/>
      <c r="BH83" s="1468"/>
      <c r="BI83" s="1468"/>
      <c r="BJ83" s="1468"/>
      <c r="BK83" s="1468"/>
      <c r="BL83" s="1468"/>
      <c r="BM83" s="1468"/>
      <c r="BN83" s="1468"/>
      <c r="BO83" s="1468"/>
      <c r="BP83" s="1468"/>
      <c r="BQ83" s="1468"/>
      <c r="BR83" s="1468"/>
      <c r="BS83" s="1468"/>
      <c r="BT83" s="1468"/>
      <c r="BU83" s="1468"/>
      <c r="BV83" s="1468"/>
      <c r="BW83" s="1468"/>
    </row>
    <row r="84" spans="1:75" s="610" customFormat="1" ht="13.5" customHeight="1" x14ac:dyDescent="0.2">
      <c r="A84" s="3551"/>
      <c r="B84" s="2404" t="s">
        <v>5</v>
      </c>
      <c r="C84" s="3556"/>
      <c r="D84" s="2319">
        <f>+E84+F84+G84+H84</f>
        <v>9730935</v>
      </c>
      <c r="E84" s="1627">
        <v>145091</v>
      </c>
      <c r="F84" s="1627">
        <v>73696</v>
      </c>
      <c r="G84" s="1627">
        <v>9512148</v>
      </c>
      <c r="H84" s="1650">
        <v>0</v>
      </c>
      <c r="I84" s="2319">
        <f t="shared" si="30"/>
        <v>218787</v>
      </c>
      <c r="J84" s="2407">
        <f>I84/D84*100</f>
        <v>2.2483656503717269</v>
      </c>
      <c r="K84" s="1627">
        <v>0</v>
      </c>
      <c r="L84" s="2408">
        <f>K84/G84*100</f>
        <v>0</v>
      </c>
      <c r="M84" s="1627">
        <f t="shared" si="63"/>
        <v>-9512148</v>
      </c>
      <c r="N84" s="3554"/>
      <c r="O84" s="1983"/>
      <c r="P84" s="1468"/>
      <c r="Q84" s="1468"/>
      <c r="R84" s="1468"/>
      <c r="S84" s="1468"/>
      <c r="T84" s="1468"/>
      <c r="U84" s="1468"/>
      <c r="V84" s="1468"/>
      <c r="W84" s="1468"/>
      <c r="X84" s="1468"/>
      <c r="Y84" s="1468"/>
      <c r="Z84" s="1468"/>
      <c r="AA84" s="1468"/>
      <c r="AB84" s="1468"/>
      <c r="AC84" s="1468"/>
      <c r="AD84" s="1468"/>
      <c r="AE84" s="1468"/>
      <c r="AF84" s="1468"/>
      <c r="AG84" s="1468"/>
      <c r="AH84" s="1468"/>
      <c r="AI84" s="1468"/>
      <c r="AJ84" s="1468"/>
      <c r="AK84" s="1468"/>
      <c r="AL84" s="1468"/>
      <c r="AM84" s="1468"/>
      <c r="AN84" s="1468"/>
      <c r="AO84" s="1468"/>
      <c r="AP84" s="1468"/>
      <c r="AQ84" s="1468"/>
      <c r="AR84" s="1468"/>
      <c r="AS84" s="1468"/>
      <c r="AT84" s="1468"/>
      <c r="AU84" s="1468"/>
      <c r="AV84" s="1468"/>
      <c r="AW84" s="1468"/>
      <c r="AX84" s="1468"/>
      <c r="AY84" s="1468"/>
      <c r="AZ84" s="1468"/>
      <c r="BA84" s="1468"/>
      <c r="BB84" s="1468"/>
      <c r="BC84" s="1468"/>
      <c r="BD84" s="1468"/>
      <c r="BE84" s="1468"/>
      <c r="BF84" s="1468"/>
      <c r="BG84" s="1468"/>
      <c r="BH84" s="1468"/>
      <c r="BI84" s="1468"/>
      <c r="BJ84" s="1468"/>
      <c r="BK84" s="1468"/>
      <c r="BL84" s="1468"/>
      <c r="BM84" s="1468"/>
      <c r="BN84" s="1468"/>
      <c r="BO84" s="1468"/>
      <c r="BP84" s="1468"/>
      <c r="BQ84" s="1468"/>
      <c r="BR84" s="1468"/>
      <c r="BS84" s="1468"/>
      <c r="BT84" s="1468"/>
      <c r="BU84" s="1468"/>
      <c r="BV84" s="1468"/>
      <c r="BW84" s="1468"/>
    </row>
    <row r="85" spans="1:75" s="610" customFormat="1" ht="13.5" customHeight="1" x14ac:dyDescent="0.2">
      <c r="A85" s="3551"/>
      <c r="B85" s="795" t="s">
        <v>12</v>
      </c>
      <c r="C85" s="3556"/>
      <c r="D85" s="2401">
        <f>+D86</f>
        <v>15204585</v>
      </c>
      <c r="E85" s="1643">
        <f t="shared" ref="E85:H85" si="65">+E86</f>
        <v>0</v>
      </c>
      <c r="F85" s="1643">
        <f t="shared" si="65"/>
        <v>320416</v>
      </c>
      <c r="G85" s="1643">
        <f>+G86</f>
        <v>14884169</v>
      </c>
      <c r="H85" s="1644">
        <f t="shared" si="65"/>
        <v>0</v>
      </c>
      <c r="I85" s="2401">
        <f t="shared" si="30"/>
        <v>386062</v>
      </c>
      <c r="J85" s="2402">
        <f t="shared" ref="J85:J91" si="66">I85/D85*100</f>
        <v>2.5391156680698619</v>
      </c>
      <c r="K85" s="1643">
        <f>+K86</f>
        <v>65646</v>
      </c>
      <c r="L85" s="2403">
        <f t="shared" ref="L85:L88" si="67">K85/G85*100</f>
        <v>0.44104578495447078</v>
      </c>
      <c r="M85" s="1643">
        <f t="shared" si="63"/>
        <v>-14818523</v>
      </c>
      <c r="N85" s="3554"/>
      <c r="O85" s="1983"/>
      <c r="P85" s="1468"/>
      <c r="Q85" s="1468"/>
      <c r="R85" s="1468"/>
      <c r="S85" s="1468"/>
      <c r="T85" s="1468"/>
      <c r="U85" s="1468"/>
      <c r="V85" s="1468"/>
      <c r="W85" s="1468"/>
      <c r="X85" s="1468"/>
      <c r="Y85" s="1468"/>
      <c r="Z85" s="1468"/>
      <c r="AA85" s="1468"/>
      <c r="AB85" s="1468"/>
      <c r="AC85" s="1468"/>
      <c r="AD85" s="1468"/>
      <c r="AE85" s="1468"/>
      <c r="AF85" s="1468"/>
      <c r="AG85" s="1468"/>
      <c r="AH85" s="1468"/>
      <c r="AI85" s="1468"/>
      <c r="AJ85" s="1468"/>
      <c r="AK85" s="1468"/>
      <c r="AL85" s="1468"/>
      <c r="AM85" s="1468"/>
      <c r="AN85" s="1468"/>
      <c r="AO85" s="1468"/>
      <c r="AP85" s="1468"/>
      <c r="AQ85" s="1468"/>
      <c r="AR85" s="1468"/>
      <c r="AS85" s="1468"/>
      <c r="AT85" s="1468"/>
      <c r="AU85" s="1468"/>
      <c r="AV85" s="1468"/>
      <c r="AW85" s="1468"/>
      <c r="AX85" s="1468"/>
      <c r="AY85" s="1468"/>
      <c r="AZ85" s="1468"/>
      <c r="BA85" s="1468"/>
      <c r="BB85" s="1468"/>
      <c r="BC85" s="1468"/>
      <c r="BD85" s="1468"/>
      <c r="BE85" s="1468"/>
      <c r="BF85" s="1468"/>
      <c r="BG85" s="1468"/>
      <c r="BH85" s="1468"/>
      <c r="BI85" s="1468"/>
      <c r="BJ85" s="1468"/>
      <c r="BK85" s="1468"/>
      <c r="BL85" s="1468"/>
      <c r="BM85" s="1468"/>
      <c r="BN85" s="1468"/>
      <c r="BO85" s="1468"/>
      <c r="BP85" s="1468"/>
      <c r="BQ85" s="1468"/>
      <c r="BR85" s="1468"/>
      <c r="BS85" s="1468"/>
      <c r="BT85" s="1468"/>
      <c r="BU85" s="1468"/>
      <c r="BV85" s="1468"/>
      <c r="BW85" s="1468"/>
    </row>
    <row r="86" spans="1:75" s="610" customFormat="1" ht="13.5" customHeight="1" x14ac:dyDescent="0.2">
      <c r="A86" s="3551"/>
      <c r="B86" s="2409" t="s">
        <v>15</v>
      </c>
      <c r="C86" s="3556"/>
      <c r="D86" s="2319">
        <f>+E86+F86+G86+H86</f>
        <v>15204585</v>
      </c>
      <c r="E86" s="1627">
        <v>0</v>
      </c>
      <c r="F86" s="1627">
        <v>320416</v>
      </c>
      <c r="G86" s="1627">
        <v>14884169</v>
      </c>
      <c r="H86" s="1650">
        <v>0</v>
      </c>
      <c r="I86" s="2319">
        <f t="shared" si="30"/>
        <v>386062</v>
      </c>
      <c r="J86" s="2407">
        <f t="shared" si="66"/>
        <v>2.5391156680698619</v>
      </c>
      <c r="K86" s="1627">
        <v>65646</v>
      </c>
      <c r="L86" s="2408">
        <f t="shared" si="67"/>
        <v>0.44104578495447078</v>
      </c>
      <c r="M86" s="1627">
        <f t="shared" si="63"/>
        <v>-14818523</v>
      </c>
      <c r="N86" s="3554"/>
      <c r="O86" s="1983"/>
      <c r="P86" s="1468"/>
      <c r="Q86" s="1468"/>
      <c r="R86" s="1468"/>
      <c r="S86" s="1468"/>
      <c r="T86" s="1468"/>
      <c r="U86" s="1468"/>
      <c r="V86" s="1468"/>
      <c r="W86" s="1468"/>
      <c r="X86" s="1468"/>
      <c r="Y86" s="1468"/>
      <c r="Z86" s="1468"/>
      <c r="AA86" s="1468"/>
      <c r="AB86" s="1468"/>
      <c r="AC86" s="1468"/>
      <c r="AD86" s="1468"/>
      <c r="AE86" s="1468"/>
      <c r="AF86" s="1468"/>
      <c r="AG86" s="1468"/>
      <c r="AH86" s="1468"/>
      <c r="AI86" s="1468"/>
      <c r="AJ86" s="1468"/>
      <c r="AK86" s="1468"/>
      <c r="AL86" s="1468"/>
      <c r="AM86" s="1468"/>
      <c r="AN86" s="1468"/>
      <c r="AO86" s="1468"/>
      <c r="AP86" s="1468"/>
      <c r="AQ86" s="1468"/>
      <c r="AR86" s="1468"/>
      <c r="AS86" s="1468"/>
      <c r="AT86" s="1468"/>
      <c r="AU86" s="1468"/>
      <c r="AV86" s="1468"/>
      <c r="AW86" s="1468"/>
      <c r="AX86" s="1468"/>
      <c r="AY86" s="1468"/>
      <c r="AZ86" s="1468"/>
      <c r="BA86" s="1468"/>
      <c r="BB86" s="1468"/>
      <c r="BC86" s="1468"/>
      <c r="BD86" s="1468"/>
      <c r="BE86" s="1468"/>
      <c r="BF86" s="1468"/>
      <c r="BG86" s="1468"/>
      <c r="BH86" s="1468"/>
      <c r="BI86" s="1468"/>
      <c r="BJ86" s="1468"/>
      <c r="BK86" s="1468"/>
      <c r="BL86" s="1468"/>
      <c r="BM86" s="1468"/>
      <c r="BN86" s="1468"/>
      <c r="BO86" s="1468"/>
      <c r="BP86" s="1468"/>
      <c r="BQ86" s="1468"/>
      <c r="BR86" s="1468"/>
      <c r="BS86" s="1468"/>
      <c r="BT86" s="1468"/>
      <c r="BU86" s="1468"/>
      <c r="BV86" s="1468"/>
      <c r="BW86" s="1468"/>
    </row>
    <row r="87" spans="1:75" s="610" customFormat="1" ht="13.5" customHeight="1" x14ac:dyDescent="0.2">
      <c r="A87" s="3551"/>
      <c r="B87" s="806" t="s">
        <v>16</v>
      </c>
      <c r="C87" s="1907"/>
      <c r="D87" s="1908">
        <f>D90+D88</f>
        <v>19634187</v>
      </c>
      <c r="E87" s="1797">
        <f>E90+E88</f>
        <v>6444</v>
      </c>
      <c r="F87" s="1797">
        <f>F90+F88</f>
        <v>89342</v>
      </c>
      <c r="G87" s="1797">
        <f>G90+G88</f>
        <v>19538401</v>
      </c>
      <c r="H87" s="2279">
        <f>H90+H88</f>
        <v>0</v>
      </c>
      <c r="I87" s="1908">
        <f>K87+E87+F87</f>
        <v>452470</v>
      </c>
      <c r="J87" s="1909">
        <f t="shared" si="66"/>
        <v>2.3045008178846418</v>
      </c>
      <c r="K87" s="1797">
        <f>K90+K88</f>
        <v>356684</v>
      </c>
      <c r="L87" s="1485">
        <f t="shared" si="67"/>
        <v>1.8255536878376075</v>
      </c>
      <c r="M87" s="1797">
        <f t="shared" si="63"/>
        <v>-19181717</v>
      </c>
      <c r="N87" s="3554"/>
      <c r="O87" s="1983"/>
      <c r="P87" s="1468"/>
      <c r="Q87" s="1468"/>
      <c r="R87" s="1468"/>
      <c r="S87" s="1468"/>
      <c r="T87" s="1468"/>
      <c r="U87" s="1468"/>
      <c r="V87" s="1468"/>
      <c r="W87" s="1468"/>
      <c r="X87" s="1468"/>
      <c r="Y87" s="1468"/>
      <c r="Z87" s="1468"/>
      <c r="AA87" s="1468"/>
      <c r="AB87" s="1468"/>
      <c r="AC87" s="1468"/>
      <c r="AD87" s="1468"/>
      <c r="AE87" s="1468"/>
      <c r="AF87" s="1468"/>
      <c r="AG87" s="1468"/>
      <c r="AH87" s="1468"/>
      <c r="AI87" s="1468"/>
      <c r="AJ87" s="1468"/>
      <c r="AK87" s="1468"/>
      <c r="AL87" s="1468"/>
      <c r="AM87" s="1468"/>
      <c r="AN87" s="1468"/>
      <c r="AO87" s="1468"/>
      <c r="AP87" s="1468"/>
      <c r="AQ87" s="1468"/>
      <c r="AR87" s="1468"/>
      <c r="AS87" s="1468"/>
      <c r="AT87" s="1468"/>
      <c r="AU87" s="1468"/>
      <c r="AV87" s="1468"/>
      <c r="AW87" s="1468"/>
      <c r="AX87" s="1468"/>
      <c r="AY87" s="1468"/>
      <c r="AZ87" s="1468"/>
      <c r="BA87" s="1468"/>
      <c r="BB87" s="1468"/>
      <c r="BC87" s="1468"/>
      <c r="BD87" s="1468"/>
      <c r="BE87" s="1468"/>
      <c r="BF87" s="1468"/>
      <c r="BG87" s="1468"/>
      <c r="BH87" s="1468"/>
      <c r="BI87" s="1468"/>
      <c r="BJ87" s="1468"/>
      <c r="BK87" s="1468"/>
      <c r="BL87" s="1468"/>
      <c r="BM87" s="1468"/>
      <c r="BN87" s="1468"/>
      <c r="BO87" s="1468"/>
      <c r="BP87" s="1468"/>
      <c r="BQ87" s="1468"/>
      <c r="BR87" s="1468"/>
      <c r="BS87" s="1468"/>
      <c r="BT87" s="1468"/>
      <c r="BU87" s="1468"/>
      <c r="BV87" s="1468"/>
      <c r="BW87" s="1468"/>
    </row>
    <row r="88" spans="1:75" s="610" customFormat="1" ht="13.5" customHeight="1" x14ac:dyDescent="0.2">
      <c r="A88" s="3551"/>
      <c r="B88" s="786" t="s">
        <v>17</v>
      </c>
      <c r="C88" s="2344"/>
      <c r="D88" s="2401">
        <f t="shared" ref="D88:H88" si="68">+D89</f>
        <v>4429602</v>
      </c>
      <c r="E88" s="2325">
        <f t="shared" si="68"/>
        <v>6444</v>
      </c>
      <c r="F88" s="2325">
        <f t="shared" si="68"/>
        <v>89342</v>
      </c>
      <c r="G88" s="1643">
        <f t="shared" si="68"/>
        <v>4333816</v>
      </c>
      <c r="H88" s="1644">
        <f t="shared" si="68"/>
        <v>0</v>
      </c>
      <c r="I88" s="2401">
        <f t="shared" si="30"/>
        <v>95786</v>
      </c>
      <c r="J88" s="2410">
        <f t="shared" si="66"/>
        <v>2.1624064645085492</v>
      </c>
      <c r="K88" s="1643">
        <f>+K89</f>
        <v>0</v>
      </c>
      <c r="L88" s="2411">
        <f t="shared" si="67"/>
        <v>0</v>
      </c>
      <c r="M88" s="1643">
        <f t="shared" si="63"/>
        <v>-4333816</v>
      </c>
      <c r="N88" s="3554"/>
      <c r="O88" s="1983"/>
      <c r="P88" s="1468"/>
      <c r="Q88" s="1468"/>
      <c r="R88" s="1468"/>
      <c r="S88" s="1468"/>
      <c r="T88" s="1468"/>
      <c r="U88" s="1468"/>
      <c r="V88" s="1468"/>
      <c r="W88" s="1468"/>
      <c r="X88" s="1468"/>
      <c r="Y88" s="1468"/>
      <c r="Z88" s="1468"/>
      <c r="AA88" s="1468"/>
      <c r="AB88" s="1468"/>
      <c r="AC88" s="1468"/>
      <c r="AD88" s="1468"/>
      <c r="AE88" s="1468"/>
      <c r="AF88" s="1468"/>
      <c r="AG88" s="1468"/>
      <c r="AH88" s="1468"/>
      <c r="AI88" s="1468"/>
      <c r="AJ88" s="1468"/>
      <c r="AK88" s="1468"/>
      <c r="AL88" s="1468"/>
      <c r="AM88" s="1468"/>
      <c r="AN88" s="1468"/>
      <c r="AO88" s="1468"/>
      <c r="AP88" s="1468"/>
      <c r="AQ88" s="1468"/>
      <c r="AR88" s="1468"/>
      <c r="AS88" s="1468"/>
      <c r="AT88" s="1468"/>
      <c r="AU88" s="1468"/>
      <c r="AV88" s="1468"/>
      <c r="AW88" s="1468"/>
      <c r="AX88" s="1468"/>
      <c r="AY88" s="1468"/>
      <c r="AZ88" s="1468"/>
      <c r="BA88" s="1468"/>
      <c r="BB88" s="1468"/>
      <c r="BC88" s="1468"/>
      <c r="BD88" s="1468"/>
      <c r="BE88" s="1468"/>
      <c r="BF88" s="1468"/>
      <c r="BG88" s="1468"/>
      <c r="BH88" s="1468"/>
      <c r="BI88" s="1468"/>
      <c r="BJ88" s="1468"/>
      <c r="BK88" s="1468"/>
      <c r="BL88" s="1468"/>
      <c r="BM88" s="1468"/>
      <c r="BN88" s="1468"/>
      <c r="BO88" s="1468"/>
      <c r="BP88" s="1468"/>
      <c r="BQ88" s="1468"/>
      <c r="BR88" s="1468"/>
      <c r="BS88" s="1468"/>
      <c r="BT88" s="1468"/>
      <c r="BU88" s="1468"/>
      <c r="BV88" s="1468"/>
      <c r="BW88" s="1468"/>
    </row>
    <row r="89" spans="1:75" s="610" customFormat="1" ht="13.5" customHeight="1" x14ac:dyDescent="0.2">
      <c r="A89" s="3551"/>
      <c r="B89" s="2404" t="s">
        <v>150</v>
      </c>
      <c r="C89" s="2344"/>
      <c r="D89" s="2319">
        <f>+E89+F89+G89+H89</f>
        <v>4429602</v>
      </c>
      <c r="E89" s="1627">
        <v>6444</v>
      </c>
      <c r="F89" s="1627">
        <v>89342</v>
      </c>
      <c r="G89" s="1627">
        <v>4333816</v>
      </c>
      <c r="H89" s="1650">
        <v>0</v>
      </c>
      <c r="I89" s="2324">
        <f t="shared" si="30"/>
        <v>95786</v>
      </c>
      <c r="J89" s="2410">
        <f t="shared" si="66"/>
        <v>2.1624064645085492</v>
      </c>
      <c r="K89" s="1627">
        <v>0</v>
      </c>
      <c r="L89" s="2411">
        <f>K89/G89*100</f>
        <v>0</v>
      </c>
      <c r="M89" s="1627">
        <f t="shared" si="63"/>
        <v>-4333816</v>
      </c>
      <c r="N89" s="3554"/>
      <c r="O89" s="1983"/>
      <c r="P89" s="1468"/>
      <c r="Q89" s="1468"/>
      <c r="R89" s="1468"/>
      <c r="S89" s="1468"/>
      <c r="T89" s="1468"/>
      <c r="U89" s="1468"/>
      <c r="V89" s="1468"/>
      <c r="W89" s="1468"/>
      <c r="X89" s="1468"/>
      <c r="Y89" s="1468"/>
      <c r="Z89" s="1468"/>
      <c r="AA89" s="1468"/>
      <c r="AB89" s="1468"/>
      <c r="AC89" s="1468"/>
      <c r="AD89" s="1468"/>
      <c r="AE89" s="1468"/>
      <c r="AF89" s="1468"/>
      <c r="AG89" s="1468"/>
      <c r="AH89" s="1468"/>
      <c r="AI89" s="1468"/>
      <c r="AJ89" s="1468"/>
      <c r="AK89" s="1468"/>
      <c r="AL89" s="1468"/>
      <c r="AM89" s="1468"/>
      <c r="AN89" s="1468"/>
      <c r="AO89" s="1468"/>
      <c r="AP89" s="1468"/>
      <c r="AQ89" s="1468"/>
      <c r="AR89" s="1468"/>
      <c r="AS89" s="1468"/>
      <c r="AT89" s="1468"/>
      <c r="AU89" s="1468"/>
      <c r="AV89" s="1468"/>
      <c r="AW89" s="1468"/>
      <c r="AX89" s="1468"/>
      <c r="AY89" s="1468"/>
      <c r="AZ89" s="1468"/>
      <c r="BA89" s="1468"/>
      <c r="BB89" s="1468"/>
      <c r="BC89" s="1468"/>
      <c r="BD89" s="1468"/>
      <c r="BE89" s="1468"/>
      <c r="BF89" s="1468"/>
      <c r="BG89" s="1468"/>
      <c r="BH89" s="1468"/>
      <c r="BI89" s="1468"/>
      <c r="BJ89" s="1468"/>
      <c r="BK89" s="1468"/>
      <c r="BL89" s="1468"/>
      <c r="BM89" s="1468"/>
      <c r="BN89" s="1468"/>
      <c r="BO89" s="1468"/>
      <c r="BP89" s="1468"/>
      <c r="BQ89" s="1468"/>
      <c r="BR89" s="1468"/>
      <c r="BS89" s="1468"/>
      <c r="BT89" s="1468"/>
      <c r="BU89" s="1468"/>
      <c r="BV89" s="1468"/>
      <c r="BW89" s="1468"/>
    </row>
    <row r="90" spans="1:75" s="610" customFormat="1" ht="13.5" customHeight="1" x14ac:dyDescent="0.2">
      <c r="A90" s="3551"/>
      <c r="B90" s="2074" t="s">
        <v>12</v>
      </c>
      <c r="C90" s="3215" t="s">
        <v>127</v>
      </c>
      <c r="D90" s="2401">
        <f>+D91</f>
        <v>15204585</v>
      </c>
      <c r="E90" s="1643">
        <f t="shared" ref="E90:F90" si="69">+E91</f>
        <v>0</v>
      </c>
      <c r="F90" s="1643">
        <f t="shared" si="69"/>
        <v>0</v>
      </c>
      <c r="G90" s="1643">
        <f>+G91</f>
        <v>15204585</v>
      </c>
      <c r="H90" s="1644">
        <f>+H91</f>
        <v>0</v>
      </c>
      <c r="I90" s="2401">
        <f>K90+E90+F90</f>
        <v>356684</v>
      </c>
      <c r="J90" s="2402">
        <f t="shared" si="66"/>
        <v>2.3458976354829812</v>
      </c>
      <c r="K90" s="1643">
        <f>+K91</f>
        <v>356684</v>
      </c>
      <c r="L90" s="2411">
        <f>K90/G90*100</f>
        <v>2.3458976354829812</v>
      </c>
      <c r="M90" s="1643">
        <f t="shared" si="63"/>
        <v>-14847901</v>
      </c>
      <c r="N90" s="3554"/>
      <c r="O90" s="1983"/>
      <c r="P90" s="1468"/>
      <c r="Q90" s="1468"/>
      <c r="R90" s="1468"/>
      <c r="S90" s="1468"/>
      <c r="T90" s="1468"/>
      <c r="U90" s="1468"/>
      <c r="V90" s="1468"/>
      <c r="W90" s="1468"/>
      <c r="X90" s="1468"/>
      <c r="Y90" s="1468"/>
      <c r="Z90" s="1468"/>
      <c r="AA90" s="1468"/>
      <c r="AB90" s="1468"/>
      <c r="AC90" s="1468"/>
      <c r="AD90" s="1468"/>
      <c r="AE90" s="1468"/>
      <c r="AF90" s="1468"/>
      <c r="AG90" s="1468"/>
      <c r="AH90" s="1468"/>
      <c r="AI90" s="1468"/>
      <c r="AJ90" s="1468"/>
      <c r="AK90" s="1468"/>
      <c r="AL90" s="1468"/>
      <c r="AM90" s="1468"/>
      <c r="AN90" s="1468"/>
      <c r="AO90" s="1468"/>
      <c r="AP90" s="1468"/>
      <c r="AQ90" s="1468"/>
      <c r="AR90" s="1468"/>
      <c r="AS90" s="1468"/>
      <c r="AT90" s="1468"/>
      <c r="AU90" s="1468"/>
      <c r="AV90" s="1468"/>
      <c r="AW90" s="1468"/>
      <c r="AX90" s="1468"/>
      <c r="AY90" s="1468"/>
      <c r="AZ90" s="1468"/>
      <c r="BA90" s="1468"/>
      <c r="BB90" s="1468"/>
      <c r="BC90" s="1468"/>
      <c r="BD90" s="1468"/>
      <c r="BE90" s="1468"/>
      <c r="BF90" s="1468"/>
      <c r="BG90" s="1468"/>
      <c r="BH90" s="1468"/>
      <c r="BI90" s="1468"/>
      <c r="BJ90" s="1468"/>
      <c r="BK90" s="1468"/>
      <c r="BL90" s="1468"/>
      <c r="BM90" s="1468"/>
      <c r="BN90" s="1468"/>
      <c r="BO90" s="1468"/>
      <c r="BP90" s="1468"/>
      <c r="BQ90" s="1468"/>
      <c r="BR90" s="1468"/>
      <c r="BS90" s="1468"/>
      <c r="BT90" s="1468"/>
      <c r="BU90" s="1468"/>
      <c r="BV90" s="1468"/>
      <c r="BW90" s="1468"/>
    </row>
    <row r="91" spans="1:75" s="610" customFormat="1" ht="13.5" customHeight="1" thickBot="1" x14ac:dyDescent="0.25">
      <c r="A91" s="3552"/>
      <c r="B91" s="2398" t="s">
        <v>15</v>
      </c>
      <c r="C91" s="3557"/>
      <c r="D91" s="1961">
        <f>+E91+F91+G91+H91</f>
        <v>15204585</v>
      </c>
      <c r="E91" s="1962">
        <v>0</v>
      </c>
      <c r="F91" s="1962">
        <v>0</v>
      </c>
      <c r="G91" s="1962">
        <v>15204585</v>
      </c>
      <c r="H91" s="2412">
        <v>0</v>
      </c>
      <c r="I91" s="1961">
        <f t="shared" si="30"/>
        <v>356684</v>
      </c>
      <c r="J91" s="2399">
        <f t="shared" si="66"/>
        <v>2.3458976354829812</v>
      </c>
      <c r="K91" s="1962">
        <v>356684</v>
      </c>
      <c r="L91" s="2413">
        <f>K91/G91*100</f>
        <v>2.3458976354829812</v>
      </c>
      <c r="M91" s="1962">
        <f t="shared" si="63"/>
        <v>-14847901</v>
      </c>
      <c r="N91" s="3555"/>
      <c r="O91" s="1983"/>
      <c r="P91" s="1468"/>
      <c r="Q91" s="1468"/>
      <c r="R91" s="1468"/>
      <c r="S91" s="1468"/>
      <c r="T91" s="1468"/>
      <c r="U91" s="1468"/>
      <c r="V91" s="1468"/>
      <c r="W91" s="1468"/>
      <c r="X91" s="1468"/>
      <c r="Y91" s="1468"/>
      <c r="Z91" s="1468"/>
      <c r="AA91" s="1468"/>
      <c r="AB91" s="1468"/>
      <c r="AC91" s="1468"/>
      <c r="AD91" s="1468"/>
      <c r="AE91" s="1468"/>
      <c r="AF91" s="1468"/>
      <c r="AG91" s="1468"/>
      <c r="AH91" s="1468"/>
      <c r="AI91" s="1468"/>
      <c r="AJ91" s="1468"/>
      <c r="AK91" s="1468"/>
      <c r="AL91" s="1468"/>
      <c r="AM91" s="1468"/>
      <c r="AN91" s="1468"/>
      <c r="AO91" s="1468"/>
      <c r="AP91" s="1468"/>
      <c r="AQ91" s="1468"/>
      <c r="AR91" s="1468"/>
      <c r="AS91" s="1468"/>
      <c r="AT91" s="1468"/>
      <c r="AU91" s="1468"/>
      <c r="AV91" s="1468"/>
      <c r="AW91" s="1468"/>
      <c r="AX91" s="1468"/>
      <c r="AY91" s="1468"/>
      <c r="AZ91" s="1468"/>
      <c r="BA91" s="1468"/>
      <c r="BB91" s="1468"/>
      <c r="BC91" s="1468"/>
      <c r="BD91" s="1468"/>
      <c r="BE91" s="1468"/>
      <c r="BF91" s="1468"/>
      <c r="BG91" s="1468"/>
      <c r="BH91" s="1468"/>
      <c r="BI91" s="1468"/>
      <c r="BJ91" s="1468"/>
      <c r="BK91" s="1468"/>
      <c r="BL91" s="1468"/>
      <c r="BM91" s="1468"/>
      <c r="BN91" s="1468"/>
      <c r="BO91" s="1468"/>
      <c r="BP91" s="1468"/>
      <c r="BQ91" s="1468"/>
      <c r="BR91" s="1468"/>
      <c r="BS91" s="1468"/>
      <c r="BT91" s="1468"/>
      <c r="BU91" s="1468"/>
      <c r="BV91" s="1468"/>
      <c r="BW91" s="1468"/>
    </row>
    <row r="92" spans="1:75" s="610" customFormat="1" ht="13.5" customHeight="1" x14ac:dyDescent="0.2">
      <c r="A92" s="2414"/>
      <c r="B92" s="2415"/>
      <c r="C92" s="2416"/>
      <c r="D92" s="1437"/>
      <c r="E92" s="1437"/>
      <c r="F92" s="1437"/>
      <c r="G92" s="1437"/>
      <c r="H92" s="1437"/>
      <c r="I92" s="1437"/>
      <c r="J92" s="2417"/>
      <c r="K92" s="1437"/>
      <c r="L92" s="2417"/>
      <c r="M92" s="2418"/>
      <c r="N92" s="2218"/>
      <c r="O92" s="1468"/>
      <c r="P92" s="1468"/>
      <c r="Q92" s="1468"/>
      <c r="R92" s="1468"/>
      <c r="S92" s="1468"/>
      <c r="T92" s="1468"/>
      <c r="U92" s="1468"/>
      <c r="V92" s="1468"/>
      <c r="W92" s="1468"/>
      <c r="X92" s="1468"/>
      <c r="Y92" s="1468"/>
      <c r="Z92" s="1468"/>
      <c r="AA92" s="1468"/>
      <c r="AB92" s="1468"/>
      <c r="AC92" s="1468"/>
      <c r="AD92" s="1468"/>
      <c r="AE92" s="1468"/>
      <c r="AF92" s="1468"/>
      <c r="AG92" s="1468"/>
      <c r="AH92" s="1468"/>
      <c r="AI92" s="1468"/>
      <c r="AJ92" s="1468"/>
      <c r="AK92" s="1468"/>
      <c r="AL92" s="1468"/>
      <c r="AM92" s="1468"/>
      <c r="AN92" s="1468"/>
      <c r="AO92" s="1468"/>
      <c r="AP92" s="1468"/>
      <c r="AQ92" s="1468"/>
      <c r="AR92" s="1468"/>
      <c r="AS92" s="1468"/>
      <c r="AT92" s="1468"/>
      <c r="AU92" s="1468"/>
      <c r="AV92" s="1468"/>
      <c r="AW92" s="1468"/>
      <c r="AX92" s="1468"/>
      <c r="AY92" s="1468"/>
      <c r="AZ92" s="1468"/>
      <c r="BA92" s="1468"/>
      <c r="BB92" s="1468"/>
      <c r="BC92" s="1468"/>
      <c r="BD92" s="1468"/>
      <c r="BE92" s="1468"/>
      <c r="BF92" s="1468"/>
      <c r="BG92" s="1468"/>
      <c r="BH92" s="1468"/>
      <c r="BI92" s="1468"/>
      <c r="BJ92" s="1468"/>
      <c r="BK92" s="1468"/>
      <c r="BL92" s="1468"/>
      <c r="BM92" s="1468"/>
      <c r="BN92" s="1468"/>
      <c r="BO92" s="1468"/>
      <c r="BP92" s="1468"/>
      <c r="BQ92" s="1468"/>
      <c r="BR92" s="1468"/>
      <c r="BS92" s="1468"/>
      <c r="BT92" s="1468"/>
      <c r="BU92" s="1468"/>
      <c r="BV92" s="1468"/>
      <c r="BW92" s="1468"/>
    </row>
  </sheetData>
  <mergeCells count="49">
    <mergeCell ref="N4:N7"/>
    <mergeCell ref="J5:J7"/>
    <mergeCell ref="D5:D7"/>
    <mergeCell ref="E5:E7"/>
    <mergeCell ref="F5:F7"/>
    <mergeCell ref="G5:H5"/>
    <mergeCell ref="G6:G7"/>
    <mergeCell ref="H6:H7"/>
    <mergeCell ref="D4:H4"/>
    <mergeCell ref="I5:I7"/>
    <mergeCell ref="K6:K7"/>
    <mergeCell ref="L6:L7"/>
    <mergeCell ref="M6:M7"/>
    <mergeCell ref="I4:L4"/>
    <mergeCell ref="K5:L5"/>
    <mergeCell ref="A4:A7"/>
    <mergeCell ref="B4:B7"/>
    <mergeCell ref="C4:C7"/>
    <mergeCell ref="C19:C20"/>
    <mergeCell ref="C21:C22"/>
    <mergeCell ref="A8:B8"/>
    <mergeCell ref="A23:A31"/>
    <mergeCell ref="N23:N31"/>
    <mergeCell ref="C25:C28"/>
    <mergeCell ref="C30:C31"/>
    <mergeCell ref="A12:A22"/>
    <mergeCell ref="C13:C17"/>
    <mergeCell ref="C46:C50"/>
    <mergeCell ref="C54:C55"/>
    <mergeCell ref="A32:A43"/>
    <mergeCell ref="N32:N43"/>
    <mergeCell ref="C34:C38"/>
    <mergeCell ref="C42:C43"/>
    <mergeCell ref="C64:C67"/>
    <mergeCell ref="K1:L1"/>
    <mergeCell ref="A80:A91"/>
    <mergeCell ref="N80:N91"/>
    <mergeCell ref="C82:C86"/>
    <mergeCell ref="C90:C91"/>
    <mergeCell ref="N56:N65"/>
    <mergeCell ref="C58:C59"/>
    <mergeCell ref="A56:A65"/>
    <mergeCell ref="A68:A79"/>
    <mergeCell ref="N68:N79"/>
    <mergeCell ref="C70:C74"/>
    <mergeCell ref="C78:C79"/>
    <mergeCell ref="N12:N22"/>
    <mergeCell ref="A44:A55"/>
    <mergeCell ref="N44:N55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59" orientation="portrait" useFirstPageNumber="1" r:id="rId1"/>
  <headerFooter alignWithMargins="0">
    <oddHeader>&amp;C&amp;"Arial,Kursywa"Informacja o wykonaniu budżetu Województwa Zachodniopomorskiego za I kwartał 2014 roku
______________________________________________________________________________________________________________________</oddHeader>
    <oddFooter>&amp;C&amp;8&amp;P</oddFooter>
  </headerFooter>
  <rowBreaks count="1" manualBreakCount="1">
    <brk id="79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BN257"/>
  <sheetViews>
    <sheetView showGridLines="0" view="pageBreakPreview" zoomScale="115" zoomScaleNormal="100" zoomScaleSheetLayoutView="115" workbookViewId="0"/>
  </sheetViews>
  <sheetFormatPr defaultRowHeight="11.25" outlineLevelRow="1" x14ac:dyDescent="0.2"/>
  <cols>
    <col min="1" max="1" width="3.7109375" style="2419" customWidth="1"/>
    <col min="2" max="2" width="52.5703125" style="611" customWidth="1"/>
    <col min="3" max="3" width="10.85546875" style="611" customWidth="1"/>
    <col min="4" max="4" width="14.140625" style="611" customWidth="1"/>
    <col min="5" max="5" width="16.140625" style="611" hidden="1" customWidth="1"/>
    <col min="6" max="6" width="13.28515625" style="611" hidden="1" customWidth="1"/>
    <col min="7" max="7" width="12.28515625" style="611" customWidth="1"/>
    <col min="8" max="8" width="12.7109375" style="611" customWidth="1"/>
    <col min="9" max="9" width="13.28515625" style="1747" customWidth="1"/>
    <col min="10" max="10" width="9.7109375" style="1747" customWidth="1"/>
    <col min="11" max="11" width="11" style="1747" customWidth="1"/>
    <col min="12" max="12" width="9.140625" style="1747" customWidth="1"/>
    <col min="13" max="13" width="11.85546875" style="1747" hidden="1" customWidth="1"/>
    <col min="14" max="14" width="14.28515625" style="2420" customWidth="1"/>
    <col min="15" max="15" width="11.7109375" style="2420" hidden="1" customWidth="1"/>
    <col min="16" max="16" width="15.140625" style="611" customWidth="1"/>
    <col min="17" max="17" width="5" style="611" customWidth="1"/>
    <col min="18" max="18" width="11.140625" style="611" customWidth="1"/>
    <col min="19" max="16384" width="9.140625" style="611"/>
  </cols>
  <sheetData>
    <row r="1" spans="1:66" ht="20.25" customHeight="1" x14ac:dyDescent="0.3">
      <c r="A1" s="1724"/>
      <c r="I1" s="28"/>
      <c r="J1" s="28"/>
      <c r="K1" s="28" t="s">
        <v>384</v>
      </c>
      <c r="L1" s="28"/>
      <c r="O1" s="1224"/>
    </row>
    <row r="2" spans="1:66" ht="25.5" customHeight="1" thickBot="1" x14ac:dyDescent="0.25">
      <c r="A2" s="1724"/>
      <c r="C2" s="1747"/>
      <c r="D2" s="2421"/>
      <c r="G2" s="1747"/>
      <c r="H2" s="1747"/>
      <c r="I2" s="1226"/>
      <c r="J2" s="1431"/>
      <c r="K2" s="1226"/>
      <c r="L2" s="1226"/>
      <c r="M2" s="1226"/>
      <c r="N2" s="1227"/>
      <c r="O2" s="1225"/>
    </row>
    <row r="3" spans="1:66" s="2229" customFormat="1" ht="50.25" customHeight="1" thickBot="1" x14ac:dyDescent="0.25">
      <c r="A3" s="3510" t="s">
        <v>161</v>
      </c>
      <c r="B3" s="3699"/>
      <c r="C3" s="3699"/>
      <c r="D3" s="3699"/>
      <c r="E3" s="3699"/>
      <c r="F3" s="3699"/>
      <c r="G3" s="3699"/>
      <c r="H3" s="3699"/>
      <c r="I3" s="3699"/>
      <c r="J3" s="3699"/>
      <c r="K3" s="3699"/>
      <c r="L3" s="3699"/>
      <c r="M3" s="3699"/>
      <c r="N3" s="3700"/>
      <c r="O3" s="1228"/>
      <c r="P3" s="2228"/>
      <c r="Q3" s="2228"/>
      <c r="R3" s="2228"/>
      <c r="S3" s="2228"/>
      <c r="T3" s="2228"/>
      <c r="U3" s="2228"/>
      <c r="V3" s="2228"/>
      <c r="W3" s="2228"/>
      <c r="X3" s="2228"/>
      <c r="Y3" s="2228"/>
      <c r="Z3" s="2228"/>
      <c r="AA3" s="2228"/>
      <c r="AB3" s="2228"/>
      <c r="AC3" s="2228"/>
      <c r="AD3" s="2228"/>
      <c r="AE3" s="2228"/>
      <c r="AF3" s="2228"/>
      <c r="AG3" s="2228"/>
      <c r="AH3" s="2228"/>
      <c r="AI3" s="2228"/>
      <c r="AJ3" s="2228"/>
      <c r="AK3" s="2228"/>
      <c r="AL3" s="610"/>
      <c r="AM3" s="610"/>
      <c r="AN3" s="610"/>
      <c r="AO3" s="610"/>
      <c r="AP3" s="610"/>
      <c r="AQ3" s="610"/>
      <c r="AR3" s="610"/>
      <c r="AS3" s="610"/>
      <c r="AT3" s="610"/>
      <c r="AU3" s="610"/>
      <c r="AV3" s="610"/>
      <c r="AW3" s="610"/>
      <c r="AX3" s="610"/>
      <c r="AY3" s="610"/>
      <c r="AZ3" s="610"/>
      <c r="BA3" s="610"/>
      <c r="BB3" s="610"/>
      <c r="BC3" s="610"/>
      <c r="BD3" s="610"/>
      <c r="BE3" s="610"/>
      <c r="BF3" s="610"/>
      <c r="BG3" s="610"/>
      <c r="BH3" s="610"/>
      <c r="BI3" s="610"/>
      <c r="BJ3" s="610"/>
      <c r="BK3" s="610"/>
      <c r="BL3" s="610"/>
      <c r="BM3" s="610"/>
      <c r="BN3" s="610"/>
    </row>
    <row r="4" spans="1:66" s="24" customFormat="1" ht="33.75" customHeight="1" x14ac:dyDescent="0.2">
      <c r="A4" s="3701" t="s">
        <v>24</v>
      </c>
      <c r="B4" s="3704" t="s">
        <v>25</v>
      </c>
      <c r="C4" s="3707" t="s">
        <v>26</v>
      </c>
      <c r="D4" s="3026" t="s">
        <v>356</v>
      </c>
      <c r="E4" s="3027"/>
      <c r="F4" s="3027"/>
      <c r="G4" s="3027"/>
      <c r="H4" s="3028"/>
      <c r="I4" s="3026" t="s">
        <v>351</v>
      </c>
      <c r="J4" s="3027"/>
      <c r="K4" s="3027"/>
      <c r="L4" s="3262"/>
      <c r="M4" s="591"/>
      <c r="N4" s="3256" t="s">
        <v>27</v>
      </c>
      <c r="O4" s="1229"/>
    </row>
    <row r="5" spans="1:66" ht="27" customHeight="1" x14ac:dyDescent="0.2">
      <c r="A5" s="3702"/>
      <c r="B5" s="3705"/>
      <c r="C5" s="3708"/>
      <c r="D5" s="3031" t="s">
        <v>0</v>
      </c>
      <c r="E5" s="3072" t="s">
        <v>360</v>
      </c>
      <c r="F5" s="3072" t="s">
        <v>361</v>
      </c>
      <c r="G5" s="3029" t="s">
        <v>257</v>
      </c>
      <c r="H5" s="3030"/>
      <c r="I5" s="3235" t="s">
        <v>350</v>
      </c>
      <c r="J5" s="3259" t="s">
        <v>300</v>
      </c>
      <c r="K5" s="3069" t="s">
        <v>357</v>
      </c>
      <c r="L5" s="3225"/>
      <c r="M5" s="592"/>
      <c r="N5" s="3257"/>
      <c r="O5" s="1230"/>
      <c r="P5" s="610"/>
      <c r="Q5" s="610"/>
      <c r="R5" s="610"/>
      <c r="S5" s="610"/>
      <c r="T5" s="610"/>
      <c r="U5" s="610"/>
      <c r="V5" s="610"/>
      <c r="W5" s="610"/>
      <c r="X5" s="610"/>
      <c r="Y5" s="610"/>
      <c r="Z5" s="610"/>
      <c r="AA5" s="610"/>
      <c r="AB5" s="610"/>
      <c r="AC5" s="610"/>
      <c r="AD5" s="610"/>
      <c r="AE5" s="610"/>
      <c r="AF5" s="610"/>
      <c r="AG5" s="610"/>
      <c r="AH5" s="610"/>
      <c r="AI5" s="610"/>
      <c r="AJ5" s="610"/>
      <c r="AK5" s="610"/>
      <c r="AL5" s="610"/>
      <c r="AM5" s="610"/>
      <c r="AN5" s="610"/>
      <c r="AO5" s="610"/>
      <c r="AP5" s="610"/>
      <c r="AQ5" s="610"/>
      <c r="AR5" s="610"/>
      <c r="AS5" s="610"/>
      <c r="AT5" s="610"/>
      <c r="AU5" s="610"/>
      <c r="AV5" s="610"/>
      <c r="AW5" s="610"/>
      <c r="AX5" s="610"/>
      <c r="AY5" s="610"/>
      <c r="AZ5" s="610"/>
      <c r="BA5" s="610"/>
      <c r="BB5" s="610"/>
      <c r="BC5" s="610"/>
      <c r="BD5" s="610"/>
      <c r="BE5" s="610"/>
      <c r="BF5" s="610"/>
      <c r="BG5" s="610"/>
      <c r="BH5" s="610"/>
      <c r="BI5" s="610"/>
      <c r="BJ5" s="610"/>
      <c r="BK5" s="610"/>
      <c r="BL5" s="610"/>
      <c r="BM5" s="610"/>
      <c r="BN5" s="610"/>
    </row>
    <row r="6" spans="1:66" ht="41.25" customHeight="1" x14ac:dyDescent="0.2">
      <c r="A6" s="3702"/>
      <c r="B6" s="3705"/>
      <c r="C6" s="3708"/>
      <c r="D6" s="3032"/>
      <c r="E6" s="3073"/>
      <c r="F6" s="3073"/>
      <c r="G6" s="3059" t="s">
        <v>349</v>
      </c>
      <c r="H6" s="3061" t="s">
        <v>355</v>
      </c>
      <c r="I6" s="3236"/>
      <c r="J6" s="3260"/>
      <c r="K6" s="3078" t="s">
        <v>359</v>
      </c>
      <c r="L6" s="3259" t="s">
        <v>301</v>
      </c>
      <c r="M6" s="3710" t="s">
        <v>302</v>
      </c>
      <c r="N6" s="3686"/>
      <c r="O6" s="123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10"/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0"/>
      <c r="AL6" s="610"/>
      <c r="AM6" s="610"/>
      <c r="AN6" s="610"/>
      <c r="AO6" s="610"/>
      <c r="AP6" s="610"/>
      <c r="AQ6" s="610"/>
      <c r="AR6" s="610"/>
      <c r="AS6" s="610"/>
      <c r="AT6" s="610"/>
      <c r="AU6" s="610"/>
      <c r="AV6" s="610"/>
      <c r="AW6" s="610"/>
      <c r="AX6" s="610"/>
      <c r="AY6" s="610"/>
      <c r="AZ6" s="610"/>
      <c r="BA6" s="610"/>
      <c r="BB6" s="610"/>
      <c r="BC6" s="610"/>
      <c r="BD6" s="610"/>
      <c r="BE6" s="610"/>
      <c r="BF6" s="610"/>
      <c r="BG6" s="610"/>
      <c r="BH6" s="610"/>
      <c r="BI6" s="610"/>
      <c r="BJ6" s="610"/>
      <c r="BK6" s="610"/>
      <c r="BL6" s="610"/>
      <c r="BM6" s="610"/>
      <c r="BN6" s="610"/>
    </row>
    <row r="7" spans="1:66" ht="58.5" customHeight="1" thickBot="1" x14ac:dyDescent="0.25">
      <c r="A7" s="3703"/>
      <c r="B7" s="3706"/>
      <c r="C7" s="3709"/>
      <c r="D7" s="3243"/>
      <c r="E7" s="3244"/>
      <c r="F7" s="3244"/>
      <c r="G7" s="3274"/>
      <c r="H7" s="3275"/>
      <c r="I7" s="3237"/>
      <c r="J7" s="3261"/>
      <c r="K7" s="3238"/>
      <c r="L7" s="3261"/>
      <c r="M7" s="3711"/>
      <c r="N7" s="3687"/>
      <c r="O7" s="1230"/>
      <c r="P7" s="610"/>
      <c r="Q7" s="610"/>
      <c r="R7" s="610"/>
      <c r="S7" s="610"/>
      <c r="T7" s="610"/>
      <c r="U7" s="610"/>
      <c r="V7" s="610"/>
      <c r="W7" s="610"/>
      <c r="X7" s="610"/>
      <c r="Y7" s="610"/>
      <c r="Z7" s="610"/>
      <c r="AA7" s="610"/>
      <c r="AB7" s="610"/>
      <c r="AC7" s="610"/>
      <c r="AD7" s="610"/>
      <c r="AE7" s="610"/>
      <c r="AF7" s="610"/>
      <c r="AG7" s="610"/>
      <c r="AH7" s="610"/>
      <c r="AI7" s="610"/>
      <c r="AJ7" s="610"/>
      <c r="AK7" s="610"/>
      <c r="AL7" s="610"/>
      <c r="AM7" s="610"/>
      <c r="AN7" s="610"/>
      <c r="AO7" s="610"/>
      <c r="AP7" s="610"/>
      <c r="AQ7" s="610"/>
      <c r="AR7" s="610"/>
      <c r="AS7" s="610"/>
      <c r="AT7" s="610"/>
      <c r="AU7" s="610"/>
      <c r="AV7" s="610"/>
      <c r="AW7" s="610"/>
      <c r="AX7" s="610"/>
      <c r="AY7" s="610"/>
      <c r="AZ7" s="610"/>
      <c r="BA7" s="610"/>
      <c r="BB7" s="610"/>
      <c r="BC7" s="610"/>
      <c r="BD7" s="610"/>
      <c r="BE7" s="610"/>
      <c r="BF7" s="610"/>
      <c r="BG7" s="610"/>
      <c r="BH7" s="610"/>
      <c r="BI7" s="610"/>
      <c r="BJ7" s="610"/>
      <c r="BK7" s="610"/>
      <c r="BL7" s="610"/>
      <c r="BM7" s="610"/>
      <c r="BN7" s="610"/>
    </row>
    <row r="8" spans="1:66" ht="14.25" customHeight="1" thickBot="1" x14ac:dyDescent="0.25">
      <c r="A8" s="3684">
        <v>1</v>
      </c>
      <c r="B8" s="3685"/>
      <c r="C8" s="2422">
        <v>2</v>
      </c>
      <c r="D8" s="1754">
        <v>3</v>
      </c>
      <c r="E8" s="1988"/>
      <c r="F8" s="1988"/>
      <c r="G8" s="1755">
        <v>4</v>
      </c>
      <c r="H8" s="1756">
        <v>5</v>
      </c>
      <c r="I8" s="1754">
        <v>6</v>
      </c>
      <c r="J8" s="1988">
        <v>7</v>
      </c>
      <c r="K8" s="1988">
        <v>8</v>
      </c>
      <c r="L8" s="1989">
        <v>9</v>
      </c>
      <c r="M8" s="1988">
        <v>10</v>
      </c>
      <c r="N8" s="2423">
        <v>10</v>
      </c>
      <c r="O8" s="63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10"/>
      <c r="AE8" s="610"/>
      <c r="AF8" s="610"/>
      <c r="AG8" s="610"/>
      <c r="AH8" s="610"/>
      <c r="AI8" s="610"/>
      <c r="AJ8" s="610"/>
      <c r="AK8" s="610"/>
      <c r="AL8" s="610"/>
      <c r="AM8" s="610"/>
      <c r="AN8" s="610"/>
      <c r="AO8" s="610"/>
      <c r="AP8" s="610"/>
      <c r="AQ8" s="610"/>
      <c r="AR8" s="610"/>
      <c r="AS8" s="610"/>
      <c r="AT8" s="610"/>
      <c r="AU8" s="610"/>
      <c r="AV8" s="610"/>
      <c r="AW8" s="610"/>
      <c r="AX8" s="610"/>
      <c r="AY8" s="610"/>
      <c r="AZ8" s="610"/>
      <c r="BA8" s="610"/>
      <c r="BB8" s="610"/>
      <c r="BC8" s="610"/>
      <c r="BD8" s="610"/>
      <c r="BE8" s="610"/>
      <c r="BF8" s="610"/>
      <c r="BG8" s="610"/>
      <c r="BH8" s="610"/>
      <c r="BI8" s="610"/>
      <c r="BJ8" s="610"/>
      <c r="BK8" s="610"/>
      <c r="BL8" s="610"/>
      <c r="BM8" s="610"/>
      <c r="BN8" s="610"/>
    </row>
    <row r="9" spans="1:66" ht="24.75" customHeight="1" thickBot="1" x14ac:dyDescent="0.25">
      <c r="A9" s="2424"/>
      <c r="B9" s="600" t="s">
        <v>162</v>
      </c>
      <c r="C9" s="601"/>
      <c r="D9" s="602">
        <f t="shared" ref="D9:H9" si="0">D10+D11</f>
        <v>291264055.39999998</v>
      </c>
      <c r="E9" s="2425">
        <f t="shared" si="0"/>
        <v>178985052.39999998</v>
      </c>
      <c r="F9" s="2425">
        <f t="shared" si="0"/>
        <v>41646446</v>
      </c>
      <c r="G9" s="603">
        <f t="shared" si="0"/>
        <v>40791042</v>
      </c>
      <c r="H9" s="606">
        <f t="shared" si="0"/>
        <v>29841515</v>
      </c>
      <c r="I9" s="2426">
        <f t="shared" ref="I9" si="1">I10+I11</f>
        <v>223317298.86999997</v>
      </c>
      <c r="J9" s="2427">
        <f t="shared" ref="J9:J32" si="2">I9/D9*100</f>
        <v>76.671767329241135</v>
      </c>
      <c r="K9" s="2425">
        <f>K10+K11</f>
        <v>3114583.47</v>
      </c>
      <c r="L9" s="2427">
        <f t="shared" ref="L9:L18" si="3">K9/G9*100</f>
        <v>7.6354594471992163</v>
      </c>
      <c r="M9" s="603">
        <f>+K9-G9</f>
        <v>-37676458.530000001</v>
      </c>
      <c r="N9" s="1419"/>
      <c r="O9" s="218">
        <f>+K9-G9/2</f>
        <v>-17280937.530000001</v>
      </c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10"/>
      <c r="AE9" s="610"/>
      <c r="AF9" s="610"/>
      <c r="AG9" s="610"/>
      <c r="AH9" s="610"/>
      <c r="AI9" s="610"/>
      <c r="AJ9" s="610"/>
      <c r="AK9" s="610"/>
      <c r="AL9" s="610"/>
      <c r="AM9" s="610"/>
      <c r="AN9" s="610"/>
      <c r="AO9" s="610"/>
      <c r="AP9" s="610"/>
      <c r="AQ9" s="610"/>
      <c r="AR9" s="610"/>
      <c r="AS9" s="610"/>
      <c r="AT9" s="610"/>
      <c r="AU9" s="610"/>
      <c r="AV9" s="610"/>
      <c r="AW9" s="610"/>
      <c r="AX9" s="610"/>
      <c r="AY9" s="610"/>
      <c r="AZ9" s="610"/>
      <c r="BA9" s="610"/>
      <c r="BB9" s="610"/>
      <c r="BC9" s="610"/>
      <c r="BD9" s="610"/>
      <c r="BE9" s="610"/>
      <c r="BF9" s="610"/>
      <c r="BG9" s="610"/>
      <c r="BH9" s="610"/>
      <c r="BI9" s="610"/>
      <c r="BJ9" s="610"/>
      <c r="BK9" s="610"/>
      <c r="BL9" s="610"/>
      <c r="BM9" s="610"/>
      <c r="BN9" s="610"/>
    </row>
    <row r="10" spans="1:66" s="621" customFormat="1" ht="15.75" customHeight="1" thickTop="1" x14ac:dyDescent="0.2">
      <c r="A10" s="1994"/>
      <c r="B10" s="613" t="s">
        <v>163</v>
      </c>
      <c r="C10" s="614"/>
      <c r="D10" s="42">
        <f t="shared" ref="D10:H10" si="4">D74+D191+D221</f>
        <v>44734305.700000003</v>
      </c>
      <c r="E10" s="2428">
        <f t="shared" si="4"/>
        <v>23932454.699999999</v>
      </c>
      <c r="F10" s="2429">
        <f t="shared" si="4"/>
        <v>8347064</v>
      </c>
      <c r="G10" s="40">
        <f t="shared" si="4"/>
        <v>9883000</v>
      </c>
      <c r="H10" s="41">
        <f t="shared" si="4"/>
        <v>2571787</v>
      </c>
      <c r="I10" s="615">
        <f t="shared" ref="I10" si="5">I74+I191+I221</f>
        <v>33193834.530000001</v>
      </c>
      <c r="J10" s="2430">
        <f t="shared" si="2"/>
        <v>74.202190043155184</v>
      </c>
      <c r="K10" s="2431">
        <f>K74+K191+K221</f>
        <v>1394102.83</v>
      </c>
      <c r="L10" s="2430">
        <f t="shared" si="3"/>
        <v>14.106069310937974</v>
      </c>
      <c r="M10" s="40">
        <f t="shared" ref="M10:M72" si="6">+K10-G10</f>
        <v>-8488897.1699999999</v>
      </c>
      <c r="N10" s="1993"/>
      <c r="O10" s="218">
        <f t="shared" ref="O10:O73" si="7">E10+F10+K10-I10</f>
        <v>479787</v>
      </c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0"/>
      <c r="AI10" s="620"/>
      <c r="AJ10" s="620"/>
      <c r="AK10" s="620"/>
      <c r="AL10" s="620"/>
      <c r="AM10" s="620"/>
      <c r="AN10" s="620"/>
      <c r="AO10" s="620"/>
      <c r="AP10" s="620"/>
      <c r="AQ10" s="620"/>
      <c r="AR10" s="620"/>
      <c r="AS10" s="620"/>
      <c r="AT10" s="620"/>
      <c r="AU10" s="620"/>
      <c r="AV10" s="620"/>
      <c r="AW10" s="620"/>
      <c r="AX10" s="620"/>
      <c r="AY10" s="620"/>
      <c r="AZ10" s="620"/>
      <c r="BA10" s="620"/>
      <c r="BB10" s="620"/>
      <c r="BC10" s="620"/>
      <c r="BD10" s="620"/>
      <c r="BE10" s="620"/>
      <c r="BF10" s="620"/>
      <c r="BG10" s="620"/>
      <c r="BH10" s="620"/>
      <c r="BI10" s="620"/>
      <c r="BJ10" s="620"/>
      <c r="BK10" s="620"/>
      <c r="BL10" s="620"/>
      <c r="BM10" s="620"/>
      <c r="BN10" s="620"/>
    </row>
    <row r="11" spans="1:66" s="621" customFormat="1" ht="17.25" customHeight="1" thickBot="1" x14ac:dyDescent="0.25">
      <c r="A11" s="1994"/>
      <c r="B11" s="1997" t="s">
        <v>164</v>
      </c>
      <c r="C11" s="1998"/>
      <c r="D11" s="2432">
        <f t="shared" ref="D11:H11" si="8">D34+D48+D61+D93+D109+D120+D131+D206</f>
        <v>246529749.69999999</v>
      </c>
      <c r="E11" s="2433">
        <f t="shared" si="8"/>
        <v>155052597.69999999</v>
      </c>
      <c r="F11" s="2434">
        <f t="shared" si="8"/>
        <v>33299382</v>
      </c>
      <c r="G11" s="434">
        <f>G34+G48+G61+G93+G109+G120+G131+G206</f>
        <v>30908042</v>
      </c>
      <c r="H11" s="2435">
        <f t="shared" si="8"/>
        <v>27269728</v>
      </c>
      <c r="I11" s="2436">
        <f t="shared" ref="I11" si="9">I34+I48+I61+I93+I109+I120+I131+I206</f>
        <v>190123464.33999997</v>
      </c>
      <c r="J11" s="2437">
        <f t="shared" si="2"/>
        <v>77.119886979709193</v>
      </c>
      <c r="K11" s="2438">
        <f>K34+K48+K61+K93+K109+K120+K131+K206</f>
        <v>1720480.6400000001</v>
      </c>
      <c r="L11" s="2437">
        <f t="shared" si="3"/>
        <v>5.5664497932285721</v>
      </c>
      <c r="M11" s="2001">
        <f t="shared" si="6"/>
        <v>-29187561.359999999</v>
      </c>
      <c r="N11" s="1993"/>
      <c r="O11" s="218">
        <f t="shared" si="7"/>
        <v>-51004</v>
      </c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620"/>
      <c r="AM11" s="620"/>
      <c r="AN11" s="620"/>
      <c r="AO11" s="620"/>
      <c r="AP11" s="620"/>
      <c r="AQ11" s="620"/>
      <c r="AR11" s="620"/>
      <c r="AS11" s="620"/>
      <c r="AT11" s="620"/>
      <c r="AU11" s="620"/>
      <c r="AV11" s="620"/>
      <c r="AW11" s="620"/>
      <c r="AX11" s="620"/>
      <c r="AY11" s="620"/>
      <c r="AZ11" s="620"/>
      <c r="BA11" s="620"/>
      <c r="BB11" s="620"/>
      <c r="BC11" s="620"/>
      <c r="BD11" s="620"/>
      <c r="BE11" s="620"/>
      <c r="BF11" s="620"/>
      <c r="BG11" s="620"/>
      <c r="BH11" s="620"/>
      <c r="BI11" s="620"/>
      <c r="BJ11" s="620"/>
      <c r="BK11" s="620"/>
      <c r="BL11" s="620"/>
      <c r="BM11" s="620"/>
      <c r="BN11" s="620"/>
    </row>
    <row r="12" spans="1:66" s="2446" customFormat="1" ht="16.5" customHeight="1" x14ac:dyDescent="0.2">
      <c r="A12" s="3604"/>
      <c r="B12" s="631" t="s">
        <v>2</v>
      </c>
      <c r="C12" s="2439"/>
      <c r="D12" s="2440">
        <f>+D13+D18</f>
        <v>291264055.39999998</v>
      </c>
      <c r="E12" s="1447">
        <f t="shared" ref="E12:G12" si="10">+E13+E18</f>
        <v>178985052.40000001</v>
      </c>
      <c r="F12" s="1447">
        <f t="shared" si="10"/>
        <v>41646446</v>
      </c>
      <c r="G12" s="2441">
        <f t="shared" si="10"/>
        <v>40791042</v>
      </c>
      <c r="H12" s="2442">
        <f>+H13+H18</f>
        <v>29841515</v>
      </c>
      <c r="I12" s="2440">
        <f>+I13+I18</f>
        <v>223317298.87</v>
      </c>
      <c r="J12" s="2443">
        <f t="shared" si="2"/>
        <v>76.671767329241149</v>
      </c>
      <c r="K12" s="1447">
        <f>+K13+K18</f>
        <v>3114583.4699999997</v>
      </c>
      <c r="L12" s="2443">
        <f t="shared" si="3"/>
        <v>7.6354594471992154</v>
      </c>
      <c r="M12" s="2441">
        <f t="shared" si="6"/>
        <v>-37676458.530000001</v>
      </c>
      <c r="N12" s="3696"/>
      <c r="O12" s="218">
        <f t="shared" si="7"/>
        <v>428783</v>
      </c>
      <c r="P12" s="2444"/>
      <c r="Q12" s="2444"/>
      <c r="R12" s="2444"/>
      <c r="S12" s="2445"/>
      <c r="T12" s="2445"/>
      <c r="U12" s="2445"/>
      <c r="V12" s="2445"/>
      <c r="W12" s="2445"/>
      <c r="X12" s="2445"/>
      <c r="Y12" s="2445"/>
      <c r="Z12" s="2445"/>
      <c r="AA12" s="2445"/>
      <c r="AB12" s="2445"/>
      <c r="AC12" s="2445"/>
      <c r="AD12" s="2445"/>
      <c r="AE12" s="2445"/>
      <c r="AF12" s="2445"/>
      <c r="AG12" s="2445"/>
      <c r="AH12" s="2445"/>
      <c r="AI12" s="2445"/>
      <c r="AJ12" s="2445"/>
      <c r="AK12" s="2445"/>
      <c r="AL12" s="2445"/>
      <c r="AM12" s="2445"/>
      <c r="AN12" s="2445"/>
      <c r="AO12" s="2445"/>
      <c r="AP12" s="2445"/>
      <c r="AQ12" s="2445"/>
      <c r="AR12" s="2445"/>
      <c r="AS12" s="2445"/>
      <c r="AT12" s="2445"/>
      <c r="AU12" s="2445"/>
      <c r="AV12" s="2445"/>
      <c r="AW12" s="2445"/>
      <c r="AX12" s="2445"/>
      <c r="AY12" s="2445"/>
      <c r="AZ12" s="2445"/>
      <c r="BA12" s="2445"/>
      <c r="BB12" s="2445"/>
      <c r="BC12" s="2445"/>
      <c r="BD12" s="2445"/>
      <c r="BE12" s="2445"/>
      <c r="BF12" s="2445"/>
      <c r="BG12" s="2445"/>
      <c r="BH12" s="2445"/>
      <c r="BI12" s="2445"/>
      <c r="BJ12" s="2445"/>
      <c r="BK12" s="2445"/>
      <c r="BL12" s="2445"/>
      <c r="BM12" s="2445"/>
      <c r="BN12" s="2445"/>
    </row>
    <row r="13" spans="1:66" s="2452" customFormat="1" ht="16.5" customHeight="1" x14ac:dyDescent="0.2">
      <c r="A13" s="3605"/>
      <c r="B13" s="2166" t="s">
        <v>3</v>
      </c>
      <c r="C13" s="3697"/>
      <c r="D13" s="2447">
        <f t="shared" ref="D13" si="11">SUM(D14:D17)</f>
        <v>116190620.40000001</v>
      </c>
      <c r="E13" s="2448">
        <f>SUM(E14:E17)</f>
        <v>73644072.400000006</v>
      </c>
      <c r="F13" s="2448">
        <f t="shared" ref="F13:H13" si="12">SUM(F14:F17)</f>
        <v>17352953</v>
      </c>
      <c r="G13" s="2449">
        <f t="shared" si="12"/>
        <v>16526714</v>
      </c>
      <c r="H13" s="2450">
        <f t="shared" si="12"/>
        <v>8666881</v>
      </c>
      <c r="I13" s="2447">
        <f t="shared" ref="I13" si="13">SUM(I14:I17)</f>
        <v>91749950.469999999</v>
      </c>
      <c r="J13" s="2451">
        <f t="shared" si="2"/>
        <v>78.965023298903048</v>
      </c>
      <c r="K13" s="2448">
        <f>SUM(K14:K17)</f>
        <v>987962.07</v>
      </c>
      <c r="L13" s="2451">
        <f t="shared" si="3"/>
        <v>5.977970393872611</v>
      </c>
      <c r="M13" s="2449">
        <f t="shared" si="6"/>
        <v>-15538751.93</v>
      </c>
      <c r="N13" s="3660"/>
      <c r="O13" s="218">
        <f t="shared" si="7"/>
        <v>235037</v>
      </c>
      <c r="Q13" s="2217"/>
    </row>
    <row r="14" spans="1:66" s="24" customFormat="1" ht="16.5" customHeight="1" x14ac:dyDescent="0.2">
      <c r="A14" s="3605"/>
      <c r="B14" s="661" t="s">
        <v>4</v>
      </c>
      <c r="C14" s="3320"/>
      <c r="D14" s="2453">
        <f>D76+D95+D193+D208+D223</f>
        <v>2850623</v>
      </c>
      <c r="E14" s="2454">
        <f>E76+E95+E193+E208+E223</f>
        <v>2010652</v>
      </c>
      <c r="F14" s="2454">
        <f>F76+F95+F193+F208+F223</f>
        <v>229971</v>
      </c>
      <c r="G14" s="2454">
        <f>G76+G95+G193+G208+G223</f>
        <v>400000</v>
      </c>
      <c r="H14" s="1259">
        <f>H76+H95+H193+H208+H223</f>
        <v>210000</v>
      </c>
      <c r="I14" s="2453">
        <f t="shared" ref="I14" si="14">I76+I95+I193+I208+I223</f>
        <v>2208694</v>
      </c>
      <c r="J14" s="2455">
        <f t="shared" si="2"/>
        <v>77.481097991561839</v>
      </c>
      <c r="K14" s="2454">
        <f>K76+K95+K193+K208+K223</f>
        <v>24783</v>
      </c>
      <c r="L14" s="2455">
        <f t="shared" si="3"/>
        <v>6.1957500000000003</v>
      </c>
      <c r="M14" s="2454">
        <f t="shared" si="6"/>
        <v>-375217</v>
      </c>
      <c r="N14" s="3660"/>
      <c r="O14" s="218">
        <f t="shared" si="7"/>
        <v>56712</v>
      </c>
    </row>
    <row r="15" spans="1:66" s="24" customFormat="1" ht="16.5" customHeight="1" outlineLevel="1" x14ac:dyDescent="0.2">
      <c r="A15" s="3605"/>
      <c r="B15" s="661" t="s">
        <v>7</v>
      </c>
      <c r="C15" s="3320"/>
      <c r="D15" s="2453">
        <f>+D37+D51+D64+D77+D96</f>
        <v>30932305</v>
      </c>
      <c r="E15" s="2454">
        <f t="shared" ref="E15:H15" si="15">+E37+E51+E64+E77+E96</f>
        <v>26069354</v>
      </c>
      <c r="F15" s="2454">
        <f t="shared" si="15"/>
        <v>4134951</v>
      </c>
      <c r="G15" s="2454">
        <f t="shared" si="15"/>
        <v>403000</v>
      </c>
      <c r="H15" s="1259">
        <f t="shared" si="15"/>
        <v>325000</v>
      </c>
      <c r="I15" s="2453">
        <f>+I37+I51+I64+I77+I96</f>
        <v>30178035.600000001</v>
      </c>
      <c r="J15" s="2455">
        <f t="shared" si="2"/>
        <v>97.561548032065517</v>
      </c>
      <c r="K15" s="2454">
        <f>+K37+K51+K64+K77+K96</f>
        <v>85304.6</v>
      </c>
      <c r="L15" s="2455">
        <f t="shared" si="3"/>
        <v>21.167394540942929</v>
      </c>
      <c r="M15" s="2454">
        <f t="shared" si="6"/>
        <v>-317695.40000000002</v>
      </c>
      <c r="N15" s="3660"/>
      <c r="O15" s="218">
        <f t="shared" si="7"/>
        <v>111574</v>
      </c>
    </row>
    <row r="16" spans="1:66" s="24" customFormat="1" ht="16.5" customHeight="1" outlineLevel="1" x14ac:dyDescent="0.2">
      <c r="A16" s="3605"/>
      <c r="B16" s="661" t="s">
        <v>8</v>
      </c>
      <c r="C16" s="3320"/>
      <c r="D16" s="2453">
        <f>+D133+D148+D194+D209+D78+D97</f>
        <v>65855448.400000006</v>
      </c>
      <c r="E16" s="2454">
        <f>+E133+E148+E194+E209+E78+E97</f>
        <v>41762289.400000006</v>
      </c>
      <c r="F16" s="2454">
        <f t="shared" ref="F16:H16" si="16">+F133+F148+F194+F209+F78+F97</f>
        <v>9726690</v>
      </c>
      <c r="G16" s="2454">
        <f t="shared" si="16"/>
        <v>8701000</v>
      </c>
      <c r="H16" s="1259">
        <f t="shared" si="16"/>
        <v>5665469</v>
      </c>
      <c r="I16" s="2453">
        <f t="shared" ref="I16:K16" si="17">+I133+I148+I194+I209+I78+I97</f>
        <v>52300104.870000005</v>
      </c>
      <c r="J16" s="2455">
        <f t="shared" si="2"/>
        <v>79.4165192716234</v>
      </c>
      <c r="K16" s="2454">
        <f t="shared" si="17"/>
        <v>877874.47</v>
      </c>
      <c r="L16" s="2455">
        <f t="shared" si="3"/>
        <v>10.089351453855878</v>
      </c>
      <c r="M16" s="2454">
        <f t="shared" si="6"/>
        <v>-7823125.5300000003</v>
      </c>
      <c r="N16" s="3660"/>
      <c r="O16" s="218">
        <f t="shared" si="7"/>
        <v>66749</v>
      </c>
    </row>
    <row r="17" spans="1:18" s="24" customFormat="1" ht="16.5" customHeight="1" outlineLevel="1" x14ac:dyDescent="0.2">
      <c r="A17" s="3605"/>
      <c r="B17" s="661" t="s">
        <v>29</v>
      </c>
      <c r="C17" s="3320"/>
      <c r="D17" s="2453">
        <f t="shared" ref="D17:H17" si="18">+D111+D122</f>
        <v>16552244</v>
      </c>
      <c r="E17" s="2454">
        <f t="shared" si="18"/>
        <v>3801777</v>
      </c>
      <c r="F17" s="2454">
        <f t="shared" si="18"/>
        <v>3261341</v>
      </c>
      <c r="G17" s="2454">
        <f t="shared" si="18"/>
        <v>7022714</v>
      </c>
      <c r="H17" s="1259">
        <f t="shared" si="18"/>
        <v>2466412</v>
      </c>
      <c r="I17" s="2453">
        <f t="shared" ref="I17" si="19">+I111+I122</f>
        <v>7063116</v>
      </c>
      <c r="J17" s="2455">
        <f t="shared" si="2"/>
        <v>42.671652254522108</v>
      </c>
      <c r="K17" s="2454">
        <f>+K111+K122</f>
        <v>0</v>
      </c>
      <c r="L17" s="2455">
        <f t="shared" si="3"/>
        <v>0</v>
      </c>
      <c r="M17" s="2454">
        <f t="shared" si="6"/>
        <v>-7022714</v>
      </c>
      <c r="N17" s="3660"/>
      <c r="O17" s="218">
        <f t="shared" si="7"/>
        <v>2</v>
      </c>
    </row>
    <row r="18" spans="1:18" s="252" customFormat="1" ht="16.5" customHeight="1" outlineLevel="1" x14ac:dyDescent="0.2">
      <c r="A18" s="3605"/>
      <c r="B18" s="2456" t="s">
        <v>12</v>
      </c>
      <c r="C18" s="3320"/>
      <c r="D18" s="2457">
        <f>+D20+D21+D22+D19</f>
        <v>175073435</v>
      </c>
      <c r="E18" s="2458">
        <f>+E20+E21+E22+E19</f>
        <v>105340980</v>
      </c>
      <c r="F18" s="2458">
        <f>+F20+F21+F22+F19</f>
        <v>24293493</v>
      </c>
      <c r="G18" s="2459">
        <f t="shared" ref="G18:H18" si="20">+G20+G21+G22+G19</f>
        <v>24264328</v>
      </c>
      <c r="H18" s="2460">
        <f t="shared" si="20"/>
        <v>21174634</v>
      </c>
      <c r="I18" s="2457">
        <f t="shared" ref="I18:K18" si="21">+I20+I21+I22+I19</f>
        <v>131567348.39999999</v>
      </c>
      <c r="J18" s="646">
        <f t="shared" si="2"/>
        <v>75.149806936729149</v>
      </c>
      <c r="K18" s="2461">
        <f t="shared" si="21"/>
        <v>2126621.4</v>
      </c>
      <c r="L18" s="646">
        <f t="shared" si="3"/>
        <v>8.7643943817442622</v>
      </c>
      <c r="M18" s="2459">
        <f t="shared" si="6"/>
        <v>-22137706.600000001</v>
      </c>
      <c r="N18" s="3660"/>
      <c r="O18" s="218">
        <f t="shared" si="7"/>
        <v>193746.0000000149</v>
      </c>
    </row>
    <row r="19" spans="1:18" s="252" customFormat="1" ht="16.5" customHeight="1" outlineLevel="1" x14ac:dyDescent="0.2">
      <c r="A19" s="3605"/>
      <c r="B19" s="661" t="s">
        <v>4</v>
      </c>
      <c r="C19" s="3320"/>
      <c r="D19" s="2462">
        <f>D196+D211+D80</f>
        <v>5118817</v>
      </c>
      <c r="E19" s="1259">
        <f t="shared" ref="E19" si="22">E196+E211+E80</f>
        <v>5118817</v>
      </c>
      <c r="F19" s="2454">
        <f>F196+F211+F80</f>
        <v>0</v>
      </c>
      <c r="G19" s="2463">
        <f t="shared" ref="G19:H19" si="23">G196+G211</f>
        <v>0</v>
      </c>
      <c r="H19" s="2464">
        <f t="shared" si="23"/>
        <v>0</v>
      </c>
      <c r="I19" s="2462">
        <f>I196+I211+I80</f>
        <v>5119921</v>
      </c>
      <c r="J19" s="2455">
        <f t="shared" si="2"/>
        <v>100.02156748326811</v>
      </c>
      <c r="K19" s="2465">
        <f>K196+K211+K80</f>
        <v>0</v>
      </c>
      <c r="L19" s="2463">
        <v>0</v>
      </c>
      <c r="M19" s="2463">
        <f t="shared" si="6"/>
        <v>0</v>
      </c>
      <c r="N19" s="3660"/>
      <c r="O19" s="218">
        <f t="shared" si="7"/>
        <v>-1104</v>
      </c>
    </row>
    <row r="20" spans="1:18" s="24" customFormat="1" ht="16.5" customHeight="1" outlineLevel="1" x14ac:dyDescent="0.2">
      <c r="A20" s="3605"/>
      <c r="B20" s="661" t="s">
        <v>14</v>
      </c>
      <c r="C20" s="3320"/>
      <c r="D20" s="2453">
        <f>+D39+D53+D66+D135+D81+D99+D225</f>
        <v>104717010.40000001</v>
      </c>
      <c r="E20" s="2454">
        <f t="shared" ref="E20:H20" si="24">+E39+E53+E66+E135+E81+E99+E225</f>
        <v>62366389.399999999</v>
      </c>
      <c r="F20" s="2454">
        <f t="shared" si="24"/>
        <v>18204200</v>
      </c>
      <c r="G20" s="2454">
        <f t="shared" si="24"/>
        <v>11844000</v>
      </c>
      <c r="H20" s="1259">
        <f t="shared" si="24"/>
        <v>12302421</v>
      </c>
      <c r="I20" s="2453">
        <f>+I39+I53+I66+I135+I81+I99+I225</f>
        <v>81773634.709999993</v>
      </c>
      <c r="J20" s="2455">
        <f t="shared" si="2"/>
        <v>78.090115825155365</v>
      </c>
      <c r="K20" s="2454">
        <f>+K39+K53+K66+K135+K81+K99+K225</f>
        <v>1327667.31</v>
      </c>
      <c r="L20" s="2455">
        <f t="shared" ref="L20:L27" si="25">K20/G20*100</f>
        <v>11.209619300911855</v>
      </c>
      <c r="M20" s="2454">
        <f t="shared" si="6"/>
        <v>-10516332.689999999</v>
      </c>
      <c r="N20" s="3660"/>
      <c r="O20" s="218">
        <f t="shared" si="7"/>
        <v>124622.0000000149</v>
      </c>
    </row>
    <row r="21" spans="1:18" s="24" customFormat="1" ht="16.5" customHeight="1" outlineLevel="1" x14ac:dyDescent="0.2">
      <c r="A21" s="3605"/>
      <c r="B21" s="661" t="s">
        <v>8</v>
      </c>
      <c r="C21" s="3320"/>
      <c r="D21" s="2453">
        <f>+D136+D150+D197+D212+D82+D100</f>
        <v>46846207.599999994</v>
      </c>
      <c r="E21" s="2454">
        <f>+E136+E150+E197+E212+E82+E100</f>
        <v>35038207.599999994</v>
      </c>
      <c r="F21" s="2454">
        <f t="shared" ref="F21:H21" si="26">+F136+F150+F197+F212+F82+F100</f>
        <v>5011660</v>
      </c>
      <c r="G21" s="2454">
        <f t="shared" si="26"/>
        <v>6000000</v>
      </c>
      <c r="H21" s="1259">
        <f t="shared" si="26"/>
        <v>796340</v>
      </c>
      <c r="I21" s="2453">
        <f>+I136+I150+I197+I212+I82+I100</f>
        <v>40792594.599999994</v>
      </c>
      <c r="J21" s="2455">
        <f t="shared" si="2"/>
        <v>87.077688226784005</v>
      </c>
      <c r="K21" s="2454">
        <f>+K136+K150+K197+K212+K82+K100</f>
        <v>785422</v>
      </c>
      <c r="L21" s="2455">
        <f t="shared" si="25"/>
        <v>13.090366666666666</v>
      </c>
      <c r="M21" s="2454">
        <f t="shared" si="6"/>
        <v>-5214578</v>
      </c>
      <c r="N21" s="3660"/>
      <c r="O21" s="218">
        <f t="shared" si="7"/>
        <v>42695</v>
      </c>
    </row>
    <row r="22" spans="1:18" s="24" customFormat="1" ht="16.5" customHeight="1" outlineLevel="1" x14ac:dyDescent="0.2">
      <c r="A22" s="3605"/>
      <c r="B22" s="661" t="s">
        <v>13</v>
      </c>
      <c r="C22" s="3698"/>
      <c r="D22" s="2453">
        <f t="shared" ref="D22:H22" si="27">+D113+D124</f>
        <v>18391400</v>
      </c>
      <c r="E22" s="2454">
        <f t="shared" si="27"/>
        <v>2817566</v>
      </c>
      <c r="F22" s="2454">
        <f t="shared" si="27"/>
        <v>1077633</v>
      </c>
      <c r="G22" s="2454">
        <f t="shared" si="27"/>
        <v>6420328</v>
      </c>
      <c r="H22" s="1259">
        <f t="shared" si="27"/>
        <v>8075873</v>
      </c>
      <c r="I22" s="2453">
        <f t="shared" ref="I22" si="28">+I113+I124</f>
        <v>3881198.09</v>
      </c>
      <c r="J22" s="2455">
        <f t="shared" si="2"/>
        <v>21.103331394021119</v>
      </c>
      <c r="K22" s="2454">
        <f>+K113+K124</f>
        <v>13532.09</v>
      </c>
      <c r="L22" s="2455">
        <f t="shared" si="25"/>
        <v>0.21076944978512002</v>
      </c>
      <c r="M22" s="2454">
        <f t="shared" si="6"/>
        <v>-6406795.9100000001</v>
      </c>
      <c r="N22" s="3660"/>
      <c r="O22" s="218">
        <f t="shared" si="7"/>
        <v>27533</v>
      </c>
    </row>
    <row r="23" spans="1:18" s="252" customFormat="1" ht="16.5" customHeight="1" outlineLevel="1" x14ac:dyDescent="0.2">
      <c r="A23" s="3605"/>
      <c r="B23" s="220" t="s">
        <v>16</v>
      </c>
      <c r="C23" s="25"/>
      <c r="D23" s="2466">
        <f t="shared" ref="D23" si="29">+D24+D29</f>
        <v>290037765.39999998</v>
      </c>
      <c r="E23" s="2467">
        <f>+E24+E29</f>
        <v>183223390.40000001</v>
      </c>
      <c r="F23" s="2467">
        <f>+F24+F29</f>
        <v>44252605</v>
      </c>
      <c r="G23" s="2468">
        <f>+G24+G29</f>
        <v>38125150</v>
      </c>
      <c r="H23" s="2469">
        <f>+H24+H29</f>
        <v>24436620</v>
      </c>
      <c r="I23" s="2466">
        <f>+I24+I29</f>
        <v>230517372.40000001</v>
      </c>
      <c r="J23" s="2470">
        <f t="shared" si="2"/>
        <v>79.478398987830573</v>
      </c>
      <c r="K23" s="2467">
        <f>+K24+K29</f>
        <v>3675712</v>
      </c>
      <c r="L23" s="2470">
        <f t="shared" si="25"/>
        <v>9.6411738707913273</v>
      </c>
      <c r="M23" s="2468">
        <f t="shared" si="6"/>
        <v>-34449438</v>
      </c>
      <c r="N23" s="3660"/>
      <c r="O23" s="218">
        <f t="shared" si="7"/>
        <v>634335</v>
      </c>
      <c r="P23" s="2471"/>
      <c r="R23" s="2471"/>
    </row>
    <row r="24" spans="1:18" s="252" customFormat="1" ht="16.5" customHeight="1" outlineLevel="1" x14ac:dyDescent="0.2">
      <c r="A24" s="3605"/>
      <c r="B24" s="2472" t="s">
        <v>3</v>
      </c>
      <c r="C24" s="3697"/>
      <c r="D24" s="2457">
        <f t="shared" ref="D24:H24" si="30">SUM(D25:D28)</f>
        <v>114964330.40000001</v>
      </c>
      <c r="E24" s="2473">
        <f t="shared" si="30"/>
        <v>73131573.400000006</v>
      </c>
      <c r="F24" s="2473">
        <f t="shared" si="30"/>
        <v>17249162</v>
      </c>
      <c r="G24" s="684">
        <f t="shared" si="30"/>
        <v>16126714</v>
      </c>
      <c r="H24" s="682">
        <f t="shared" si="30"/>
        <v>8456881</v>
      </c>
      <c r="I24" s="2457">
        <f t="shared" ref="I24" si="31">SUM(I25:I28)</f>
        <v>91283710.400000006</v>
      </c>
      <c r="J24" s="2474">
        <f t="shared" si="2"/>
        <v>79.401767559027164</v>
      </c>
      <c r="K24" s="2473">
        <f>SUM(K25:K28)</f>
        <v>1114111</v>
      </c>
      <c r="L24" s="2474">
        <f t="shared" si="25"/>
        <v>6.9084811698155004</v>
      </c>
      <c r="M24" s="684">
        <f t="shared" si="6"/>
        <v>-15012603</v>
      </c>
      <c r="N24" s="3660"/>
      <c r="O24" s="218">
        <f t="shared" si="7"/>
        <v>211136</v>
      </c>
      <c r="P24" s="2471"/>
      <c r="R24" s="2471"/>
    </row>
    <row r="25" spans="1:18" s="24" customFormat="1" ht="16.5" customHeight="1" outlineLevel="1" x14ac:dyDescent="0.2">
      <c r="A25" s="3605"/>
      <c r="B25" s="661" t="s">
        <v>7</v>
      </c>
      <c r="C25" s="3320"/>
      <c r="D25" s="2453">
        <f t="shared" ref="D25:H25" si="32">+D42+D56+D69+D85+D103</f>
        <v>30932305</v>
      </c>
      <c r="E25" s="2454">
        <f t="shared" si="32"/>
        <v>26069354</v>
      </c>
      <c r="F25" s="2454">
        <f t="shared" si="32"/>
        <v>4134951</v>
      </c>
      <c r="G25" s="2454">
        <f t="shared" si="32"/>
        <v>403000</v>
      </c>
      <c r="H25" s="1259">
        <f t="shared" si="32"/>
        <v>325000</v>
      </c>
      <c r="I25" s="2453">
        <f t="shared" ref="I25" si="33">+I42+I56+I69+I85+I103</f>
        <v>30190275</v>
      </c>
      <c r="J25" s="2455">
        <f t="shared" si="2"/>
        <v>97.601116373319101</v>
      </c>
      <c r="K25" s="2454">
        <f>+K42+K56+K69+K85+K103</f>
        <v>97544</v>
      </c>
      <c r="L25" s="2455">
        <f t="shared" si="25"/>
        <v>24.204466501240695</v>
      </c>
      <c r="M25" s="2454">
        <f t="shared" si="6"/>
        <v>-305456</v>
      </c>
      <c r="N25" s="3660"/>
      <c r="O25" s="218">
        <f t="shared" si="7"/>
        <v>111574</v>
      </c>
    </row>
    <row r="26" spans="1:18" s="24" customFormat="1" ht="16.5" customHeight="1" outlineLevel="1" x14ac:dyDescent="0.2">
      <c r="A26" s="3605"/>
      <c r="B26" s="661" t="s">
        <v>8</v>
      </c>
      <c r="C26" s="3320"/>
      <c r="D26" s="2453">
        <f t="shared" ref="D26" si="34">+D139+D153+D86+D104+D200+D215</f>
        <v>65855448.400000006</v>
      </c>
      <c r="E26" s="2454">
        <f>+E139+E153+E86+E104+E200+E215</f>
        <v>41762289.400000006</v>
      </c>
      <c r="F26" s="2454">
        <f t="shared" ref="F26:H26" si="35">+F139+F153+F86+F104+F200+F215</f>
        <v>9726690</v>
      </c>
      <c r="G26" s="2454">
        <f t="shared" si="35"/>
        <v>8701000</v>
      </c>
      <c r="H26" s="1259">
        <f t="shared" si="35"/>
        <v>5665469</v>
      </c>
      <c r="I26" s="2453">
        <f t="shared" ref="I26:K26" si="36">+I139+I153+I86+I104+I200+I215</f>
        <v>52405115.400000006</v>
      </c>
      <c r="J26" s="2455">
        <f t="shared" si="2"/>
        <v>79.575975372145521</v>
      </c>
      <c r="K26" s="2454">
        <f t="shared" si="36"/>
        <v>1016065</v>
      </c>
      <c r="L26" s="2455">
        <f t="shared" si="25"/>
        <v>11.677565797034823</v>
      </c>
      <c r="M26" s="2454">
        <f t="shared" si="6"/>
        <v>-7684935</v>
      </c>
      <c r="N26" s="3660"/>
      <c r="O26" s="218">
        <f t="shared" si="7"/>
        <v>99929</v>
      </c>
    </row>
    <row r="27" spans="1:18" s="24" customFormat="1" ht="16.5" customHeight="1" outlineLevel="1" x14ac:dyDescent="0.2">
      <c r="A27" s="3605"/>
      <c r="B27" s="661" t="s">
        <v>29</v>
      </c>
      <c r="C27" s="3320"/>
      <c r="D27" s="2453">
        <f t="shared" ref="D27:H27" si="37">+D116+D127</f>
        <v>16552244</v>
      </c>
      <c r="E27" s="2454">
        <f t="shared" si="37"/>
        <v>3801777</v>
      </c>
      <c r="F27" s="2454">
        <f t="shared" si="37"/>
        <v>3261341</v>
      </c>
      <c r="G27" s="2454">
        <f t="shared" si="37"/>
        <v>7022714</v>
      </c>
      <c r="H27" s="1259">
        <f t="shared" si="37"/>
        <v>2466412</v>
      </c>
      <c r="I27" s="2453">
        <f>+I116+I127</f>
        <v>7063117</v>
      </c>
      <c r="J27" s="2455">
        <f t="shared" si="2"/>
        <v>42.671658295999023</v>
      </c>
      <c r="K27" s="2454">
        <f>+K116+K127</f>
        <v>0</v>
      </c>
      <c r="L27" s="2455">
        <f t="shared" si="25"/>
        <v>0</v>
      </c>
      <c r="M27" s="2454">
        <f t="shared" si="6"/>
        <v>-7022714</v>
      </c>
      <c r="N27" s="3660"/>
      <c r="O27" s="218">
        <f t="shared" si="7"/>
        <v>1</v>
      </c>
    </row>
    <row r="28" spans="1:18" s="24" customFormat="1" ht="16.5" customHeight="1" outlineLevel="1" x14ac:dyDescent="0.2">
      <c r="A28" s="3605"/>
      <c r="B28" s="661" t="s">
        <v>165</v>
      </c>
      <c r="C28" s="3320"/>
      <c r="D28" s="2453">
        <f>D201+D87</f>
        <v>1624333</v>
      </c>
      <c r="E28" s="2454">
        <f t="shared" ref="E28:K28" si="38">E201+E87</f>
        <v>1498153</v>
      </c>
      <c r="F28" s="2454">
        <f t="shared" si="38"/>
        <v>126180</v>
      </c>
      <c r="G28" s="2454">
        <f t="shared" si="38"/>
        <v>0</v>
      </c>
      <c r="H28" s="1259">
        <f t="shared" si="38"/>
        <v>0</v>
      </c>
      <c r="I28" s="2453">
        <f t="shared" si="38"/>
        <v>1625203</v>
      </c>
      <c r="J28" s="2455">
        <f t="shared" si="2"/>
        <v>100.05356044604154</v>
      </c>
      <c r="K28" s="2454">
        <f t="shared" si="38"/>
        <v>502</v>
      </c>
      <c r="L28" s="2463">
        <v>0</v>
      </c>
      <c r="M28" s="2454">
        <f t="shared" si="6"/>
        <v>502</v>
      </c>
      <c r="N28" s="3660"/>
      <c r="O28" s="218">
        <f t="shared" si="7"/>
        <v>-368</v>
      </c>
    </row>
    <row r="29" spans="1:18" s="252" customFormat="1" ht="16.5" customHeight="1" outlineLevel="1" x14ac:dyDescent="0.2">
      <c r="A29" s="3605"/>
      <c r="B29" s="2456" t="s">
        <v>12</v>
      </c>
      <c r="C29" s="3320"/>
      <c r="D29" s="693">
        <f t="shared" ref="D29:H29" si="39">+D30+D31+D32</f>
        <v>175073435</v>
      </c>
      <c r="E29" s="645">
        <f t="shared" si="39"/>
        <v>110091817</v>
      </c>
      <c r="F29" s="645">
        <f t="shared" si="39"/>
        <v>27003443</v>
      </c>
      <c r="G29" s="695">
        <f t="shared" si="39"/>
        <v>21998436</v>
      </c>
      <c r="H29" s="643">
        <f t="shared" si="39"/>
        <v>15979739</v>
      </c>
      <c r="I29" s="693">
        <f t="shared" ref="I29:K29" si="40">+I30+I31+I32</f>
        <v>139233662</v>
      </c>
      <c r="J29" s="647">
        <f t="shared" si="2"/>
        <v>79.52872004824718</v>
      </c>
      <c r="K29" s="645">
        <f t="shared" si="40"/>
        <v>2561601</v>
      </c>
      <c r="L29" s="646">
        <f>K29/G29*100</f>
        <v>11.644468724958447</v>
      </c>
      <c r="M29" s="695">
        <f t="shared" si="6"/>
        <v>-19436835</v>
      </c>
      <c r="N29" s="3660"/>
      <c r="O29" s="218">
        <f t="shared" si="7"/>
        <v>423199</v>
      </c>
    </row>
    <row r="30" spans="1:18" s="24" customFormat="1" ht="16.5" customHeight="1" outlineLevel="1" x14ac:dyDescent="0.2">
      <c r="A30" s="3605"/>
      <c r="B30" s="661" t="s">
        <v>14</v>
      </c>
      <c r="C30" s="3320"/>
      <c r="D30" s="2453">
        <f t="shared" ref="D30:H30" si="41">+D45+D59+D72+D142+D106+D228+D89</f>
        <v>104717010.40000001</v>
      </c>
      <c r="E30" s="2454">
        <f t="shared" si="41"/>
        <v>62363965.399999999</v>
      </c>
      <c r="F30" s="2454">
        <f t="shared" si="41"/>
        <v>18204449</v>
      </c>
      <c r="G30" s="2454">
        <f t="shared" si="41"/>
        <v>11846175</v>
      </c>
      <c r="H30" s="1259">
        <f t="shared" si="41"/>
        <v>12302421</v>
      </c>
      <c r="I30" s="2453">
        <f t="shared" ref="I30" si="42">+I45+I59+I72+I142+I106+I228+I89</f>
        <v>81804002.400000006</v>
      </c>
      <c r="J30" s="2455">
        <f t="shared" si="2"/>
        <v>78.119115593086107</v>
      </c>
      <c r="K30" s="2454">
        <f>+K45+K59+K72+K142+K106+K228+K89</f>
        <v>1360095</v>
      </c>
      <c r="L30" s="2455">
        <f>K30/G30*100</f>
        <v>11.481300926248347</v>
      </c>
      <c r="M30" s="2454">
        <f t="shared" si="6"/>
        <v>-10486080</v>
      </c>
      <c r="N30" s="3660"/>
      <c r="O30" s="218">
        <f t="shared" si="7"/>
        <v>124507</v>
      </c>
    </row>
    <row r="31" spans="1:18" s="24" customFormat="1" ht="16.5" customHeight="1" outlineLevel="1" x14ac:dyDescent="0.2">
      <c r="A31" s="3605"/>
      <c r="B31" s="661" t="s">
        <v>8</v>
      </c>
      <c r="C31" s="3320"/>
      <c r="D31" s="2453">
        <f t="shared" ref="D31:H31" si="43">+D143+D156+D107+D90+D203+D218</f>
        <v>46846207.600000001</v>
      </c>
      <c r="E31" s="2454">
        <f t="shared" si="43"/>
        <v>35038207.600000001</v>
      </c>
      <c r="F31" s="2454">
        <f t="shared" si="43"/>
        <v>5011660</v>
      </c>
      <c r="G31" s="2454">
        <f t="shared" si="43"/>
        <v>6000000</v>
      </c>
      <c r="H31" s="1259">
        <f t="shared" si="43"/>
        <v>796340</v>
      </c>
      <c r="I31" s="2453">
        <f t="shared" ref="I31:K31" si="44">+I143+I156+I107+I90+I203+I218</f>
        <v>40950071.600000001</v>
      </c>
      <c r="J31" s="2455">
        <f t="shared" si="2"/>
        <v>87.413845640730159</v>
      </c>
      <c r="K31" s="2454">
        <f t="shared" si="44"/>
        <v>1200000</v>
      </c>
      <c r="L31" s="2455">
        <f>K31/G31*100</f>
        <v>20</v>
      </c>
      <c r="M31" s="2454">
        <f t="shared" si="6"/>
        <v>-4800000</v>
      </c>
      <c r="N31" s="3660"/>
      <c r="O31" s="218">
        <f t="shared" si="7"/>
        <v>299796</v>
      </c>
    </row>
    <row r="32" spans="1:18" s="24" customFormat="1" ht="16.5" customHeight="1" outlineLevel="1" thickBot="1" x14ac:dyDescent="0.25">
      <c r="A32" s="3606"/>
      <c r="B32" s="661" t="s">
        <v>13</v>
      </c>
      <c r="C32" s="3321"/>
      <c r="D32" s="2475">
        <f>D118+D129+D204+D91</f>
        <v>23510217</v>
      </c>
      <c r="E32" s="2476">
        <f t="shared" ref="E32:H32" si="45">E118+E129+E204+E91</f>
        <v>12689644</v>
      </c>
      <c r="F32" s="2476">
        <f t="shared" si="45"/>
        <v>3787334</v>
      </c>
      <c r="G32" s="2476">
        <f t="shared" si="45"/>
        <v>4152261</v>
      </c>
      <c r="H32" s="2477">
        <f t="shared" si="45"/>
        <v>2880978</v>
      </c>
      <c r="I32" s="2475">
        <f t="shared" ref="I32" si="46">I118+I129+I204+I91</f>
        <v>16479588</v>
      </c>
      <c r="J32" s="2455">
        <f t="shared" si="2"/>
        <v>70.095431275687503</v>
      </c>
      <c r="K32" s="2476">
        <f t="shared" ref="K32" si="47">K118+K129+K204+K91</f>
        <v>1506</v>
      </c>
      <c r="L32" s="2463">
        <v>0</v>
      </c>
      <c r="M32" s="2476">
        <f t="shared" si="6"/>
        <v>-4150755</v>
      </c>
      <c r="N32" s="3661"/>
      <c r="O32" s="218">
        <f t="shared" si="7"/>
        <v>-1104</v>
      </c>
    </row>
    <row r="33" spans="1:16" s="2486" customFormat="1" ht="56.25" customHeight="1" thickBot="1" x14ac:dyDescent="0.25">
      <c r="A33" s="3691" t="s">
        <v>32</v>
      </c>
      <c r="B33" s="2478" t="s">
        <v>292</v>
      </c>
      <c r="C33" s="2479" t="s">
        <v>166</v>
      </c>
      <c r="D33" s="2480"/>
      <c r="E33" s="2481"/>
      <c r="F33" s="2481"/>
      <c r="G33" s="2481"/>
      <c r="H33" s="2482"/>
      <c r="I33" s="2483"/>
      <c r="J33" s="2484"/>
      <c r="K33" s="2485"/>
      <c r="L33" s="2484"/>
      <c r="M33" s="2481"/>
      <c r="N33" s="3618" t="s">
        <v>167</v>
      </c>
      <c r="O33" s="218">
        <f t="shared" si="7"/>
        <v>0</v>
      </c>
    </row>
    <row r="34" spans="1:16" s="2488" customFormat="1" ht="14.25" customHeight="1" x14ac:dyDescent="0.2">
      <c r="A34" s="3692"/>
      <c r="B34" s="1328" t="s">
        <v>2</v>
      </c>
      <c r="C34" s="2487"/>
      <c r="D34" s="233">
        <f t="shared" ref="D34:E34" si="48">+D35+D38</f>
        <v>27429825.699999999</v>
      </c>
      <c r="E34" s="234">
        <f t="shared" si="48"/>
        <v>23463979.699999999</v>
      </c>
      <c r="F34" s="234">
        <f>+F35+F38</f>
        <v>3965846</v>
      </c>
      <c r="G34" s="287">
        <f>+G35+G38</f>
        <v>0</v>
      </c>
      <c r="H34" s="261">
        <f t="shared" ref="H34" si="49">+H35+H38</f>
        <v>0</v>
      </c>
      <c r="I34" s="233">
        <f>I35+I38</f>
        <v>27299203.699999999</v>
      </c>
      <c r="J34" s="743">
        <f t="shared" ref="J34:J46" si="50">I34/D34*100</f>
        <v>99.523795734509534</v>
      </c>
      <c r="K34" s="287">
        <f>+K35+K38</f>
        <v>0</v>
      </c>
      <c r="L34" s="287">
        <v>0</v>
      </c>
      <c r="M34" s="234">
        <f t="shared" si="6"/>
        <v>0</v>
      </c>
      <c r="N34" s="3611"/>
      <c r="O34" s="218">
        <f t="shared" si="7"/>
        <v>130622</v>
      </c>
    </row>
    <row r="35" spans="1:16" s="2488" customFormat="1" ht="14.25" customHeight="1" thickBot="1" x14ac:dyDescent="0.25">
      <c r="A35" s="3692"/>
      <c r="B35" s="1319" t="s">
        <v>3</v>
      </c>
      <c r="C35" s="3208" t="s">
        <v>168</v>
      </c>
      <c r="D35" s="277">
        <f>+D36+D37</f>
        <v>13714913</v>
      </c>
      <c r="E35" s="278">
        <f>SUM(E36:E37)</f>
        <v>11731990</v>
      </c>
      <c r="F35" s="278">
        <f>SUM(F36:F37)</f>
        <v>1982923</v>
      </c>
      <c r="G35" s="284">
        <f>SUM(G36:G37)</f>
        <v>0</v>
      </c>
      <c r="H35" s="282">
        <f>SUM(H36:H37)</f>
        <v>0</v>
      </c>
      <c r="I35" s="277">
        <f>I37</f>
        <v>13649602</v>
      </c>
      <c r="J35" s="144">
        <f t="shared" si="50"/>
        <v>99.523795739717784</v>
      </c>
      <c r="K35" s="284">
        <f>SUM(K36:K37)</f>
        <v>0</v>
      </c>
      <c r="L35" s="944">
        <v>0</v>
      </c>
      <c r="M35" s="278">
        <f t="shared" si="6"/>
        <v>0</v>
      </c>
      <c r="N35" s="3612"/>
      <c r="O35" s="218">
        <f t="shared" si="7"/>
        <v>65311</v>
      </c>
    </row>
    <row r="36" spans="1:16" s="2486" customFormat="1" ht="13.5" hidden="1" customHeight="1" thickBot="1" x14ac:dyDescent="0.25">
      <c r="A36" s="3692"/>
      <c r="B36" s="793" t="s">
        <v>4</v>
      </c>
      <c r="C36" s="3101"/>
      <c r="D36" s="2489">
        <f>+E36+F36+G36+H36</f>
        <v>0</v>
      </c>
      <c r="E36" s="2490">
        <v>0</v>
      </c>
      <c r="F36" s="2490"/>
      <c r="G36" s="2491"/>
      <c r="H36" s="2492"/>
      <c r="I36" s="2493"/>
      <c r="J36" s="2490" t="e">
        <f t="shared" si="50"/>
        <v>#DIV/0!</v>
      </c>
      <c r="K36" s="2491">
        <v>0</v>
      </c>
      <c r="L36" s="2491" t="e">
        <f t="shared" ref="L36:L43" si="51">K36/G36*100</f>
        <v>#DIV/0!</v>
      </c>
      <c r="M36" s="2490">
        <f t="shared" si="6"/>
        <v>0</v>
      </c>
      <c r="N36" s="3613"/>
      <c r="O36" s="218">
        <f t="shared" si="7"/>
        <v>0</v>
      </c>
    </row>
    <row r="37" spans="1:16" s="2495" customFormat="1" ht="15.75" customHeight="1" x14ac:dyDescent="0.2">
      <c r="A37" s="3692"/>
      <c r="B37" s="2494" t="s">
        <v>7</v>
      </c>
      <c r="C37" s="3101"/>
      <c r="D37" s="246">
        <f>+E37+F37+G37+H37</f>
        <v>13714913</v>
      </c>
      <c r="E37" s="779">
        <f>1318026+6017096+4396868</f>
        <v>11731990</v>
      </c>
      <c r="F37" s="779">
        <v>1982923</v>
      </c>
      <c r="G37" s="250">
        <v>0</v>
      </c>
      <c r="H37" s="248">
        <v>0</v>
      </c>
      <c r="I37" s="246">
        <f>F37+K37+E37-65311</f>
        <v>13649602</v>
      </c>
      <c r="J37" s="780">
        <f t="shared" si="50"/>
        <v>99.523795739717784</v>
      </c>
      <c r="K37" s="250">
        <v>0</v>
      </c>
      <c r="L37" s="250">
        <v>0</v>
      </c>
      <c r="M37" s="779">
        <f t="shared" si="6"/>
        <v>0</v>
      </c>
      <c r="N37" s="3611"/>
      <c r="O37" s="218">
        <f t="shared" si="7"/>
        <v>65311</v>
      </c>
    </row>
    <row r="38" spans="1:16" s="2486" customFormat="1" ht="15.75" customHeight="1" x14ac:dyDescent="0.2">
      <c r="A38" s="3692"/>
      <c r="B38" s="2496" t="s">
        <v>12</v>
      </c>
      <c r="C38" s="3101"/>
      <c r="D38" s="812">
        <f t="shared" ref="D38:H38" si="52">+D39</f>
        <v>13714912.699999999</v>
      </c>
      <c r="E38" s="813">
        <f t="shared" si="52"/>
        <v>11731989.699999999</v>
      </c>
      <c r="F38" s="813">
        <f t="shared" si="52"/>
        <v>1982923</v>
      </c>
      <c r="G38" s="944">
        <f t="shared" si="52"/>
        <v>0</v>
      </c>
      <c r="H38" s="850">
        <f t="shared" si="52"/>
        <v>0</v>
      </c>
      <c r="I38" s="812">
        <f>I39</f>
        <v>13649601.699999999</v>
      </c>
      <c r="J38" s="144">
        <f t="shared" si="50"/>
        <v>99.523795729301284</v>
      </c>
      <c r="K38" s="944">
        <f>+K39</f>
        <v>0</v>
      </c>
      <c r="L38" s="944">
        <v>0</v>
      </c>
      <c r="M38" s="813">
        <f t="shared" si="6"/>
        <v>0</v>
      </c>
      <c r="N38" s="3612"/>
      <c r="O38" s="218">
        <f t="shared" si="7"/>
        <v>65311</v>
      </c>
    </row>
    <row r="39" spans="1:16" s="2495" customFormat="1" ht="15.75" customHeight="1" x14ac:dyDescent="0.2">
      <c r="A39" s="3692"/>
      <c r="B39" s="1952" t="s">
        <v>14</v>
      </c>
      <c r="C39" s="3101"/>
      <c r="D39" s="246">
        <f>+E39+F39+G39+H39</f>
        <v>13714912.699999999</v>
      </c>
      <c r="E39" s="779">
        <f>1318026+6017096-0.3+4396868</f>
        <v>11731989.699999999</v>
      </c>
      <c r="F39" s="779">
        <v>1982923</v>
      </c>
      <c r="G39" s="250">
        <v>0</v>
      </c>
      <c r="H39" s="248">
        <v>0</v>
      </c>
      <c r="I39" s="246">
        <f>F39+K39+E39-65311</f>
        <v>13649601.699999999</v>
      </c>
      <c r="J39" s="780">
        <f t="shared" si="50"/>
        <v>99.523795729301284</v>
      </c>
      <c r="K39" s="250">
        <v>0</v>
      </c>
      <c r="L39" s="250">
        <v>0</v>
      </c>
      <c r="M39" s="779">
        <f t="shared" si="6"/>
        <v>0</v>
      </c>
      <c r="N39" s="3612"/>
      <c r="O39" s="218">
        <f t="shared" si="7"/>
        <v>65311</v>
      </c>
    </row>
    <row r="40" spans="1:16" s="2486" customFormat="1" ht="15" customHeight="1" x14ac:dyDescent="0.2">
      <c r="A40" s="3692"/>
      <c r="B40" s="1328" t="s">
        <v>16</v>
      </c>
      <c r="C40" s="2487"/>
      <c r="D40" s="233">
        <f>+D41+D44</f>
        <v>27429825.699999999</v>
      </c>
      <c r="E40" s="234">
        <f t="shared" ref="E40" si="53">+E41+E44</f>
        <v>23463979.699999999</v>
      </c>
      <c r="F40" s="234">
        <f>+F41+F44</f>
        <v>3965846</v>
      </c>
      <c r="G40" s="287">
        <f>+G41+G44</f>
        <v>0</v>
      </c>
      <c r="H40" s="261">
        <f t="shared" ref="H40" si="54">+H41+H44</f>
        <v>0</v>
      </c>
      <c r="I40" s="233">
        <f>I41+I44</f>
        <v>27299203.699999999</v>
      </c>
      <c r="J40" s="743">
        <f t="shared" si="50"/>
        <v>99.523795734509534</v>
      </c>
      <c r="K40" s="287">
        <f>+K41+K44</f>
        <v>0</v>
      </c>
      <c r="L40" s="287">
        <v>0</v>
      </c>
      <c r="M40" s="234">
        <f t="shared" si="6"/>
        <v>0</v>
      </c>
      <c r="N40" s="3612"/>
      <c r="O40" s="218">
        <f t="shared" si="7"/>
        <v>130622</v>
      </c>
      <c r="P40" s="2497"/>
    </row>
    <row r="41" spans="1:16" s="2241" customFormat="1" ht="15" customHeight="1" x14ac:dyDescent="0.2">
      <c r="A41" s="3692"/>
      <c r="B41" s="1319" t="s">
        <v>3</v>
      </c>
      <c r="C41" s="3688" t="s">
        <v>168</v>
      </c>
      <c r="D41" s="277">
        <f>+D42</f>
        <v>13714913</v>
      </c>
      <c r="E41" s="278">
        <f>+E42+E43</f>
        <v>11731990</v>
      </c>
      <c r="F41" s="842">
        <f>+F42+F43</f>
        <v>1982923</v>
      </c>
      <c r="G41" s="289">
        <f>+G42+G43</f>
        <v>0</v>
      </c>
      <c r="H41" s="282">
        <f>+H42+H43</f>
        <v>0</v>
      </c>
      <c r="I41" s="277">
        <f>I42</f>
        <v>13649602</v>
      </c>
      <c r="J41" s="144">
        <f t="shared" si="50"/>
        <v>99.523795739717784</v>
      </c>
      <c r="K41" s="284">
        <f>+K42+K43</f>
        <v>0</v>
      </c>
      <c r="L41" s="944">
        <v>0</v>
      </c>
      <c r="M41" s="842">
        <f t="shared" si="6"/>
        <v>0</v>
      </c>
      <c r="N41" s="3612"/>
      <c r="O41" s="218">
        <f t="shared" si="7"/>
        <v>65311</v>
      </c>
      <c r="P41" s="2497"/>
    </row>
    <row r="42" spans="1:16" s="1990" customFormat="1" ht="15" customHeight="1" x14ac:dyDescent="0.2">
      <c r="A42" s="3692"/>
      <c r="B42" s="2494" t="s">
        <v>7</v>
      </c>
      <c r="C42" s="3694"/>
      <c r="D42" s="246">
        <f>+E42+F42+G42+H42</f>
        <v>13714913</v>
      </c>
      <c r="E42" s="779">
        <f>1318026+6017096+4396868</f>
        <v>11731990</v>
      </c>
      <c r="F42" s="779">
        <v>1982923</v>
      </c>
      <c r="G42" s="250">
        <v>0</v>
      </c>
      <c r="H42" s="248">
        <v>0</v>
      </c>
      <c r="I42" s="246">
        <f>F42+K42+E42-65311</f>
        <v>13649602</v>
      </c>
      <c r="J42" s="780">
        <f t="shared" si="50"/>
        <v>99.523795739717784</v>
      </c>
      <c r="K42" s="250">
        <v>0</v>
      </c>
      <c r="L42" s="250">
        <v>0</v>
      </c>
      <c r="M42" s="779">
        <f t="shared" si="6"/>
        <v>0</v>
      </c>
      <c r="N42" s="3612"/>
      <c r="O42" s="218">
        <f t="shared" si="7"/>
        <v>65311</v>
      </c>
      <c r="P42" s="2498"/>
    </row>
    <row r="43" spans="1:16" s="2241" customFormat="1" ht="15" hidden="1" customHeight="1" x14ac:dyDescent="0.2">
      <c r="A43" s="3692"/>
      <c r="B43" s="793" t="s">
        <v>165</v>
      </c>
      <c r="C43" s="3694"/>
      <c r="D43" s="246">
        <f>+E43+F43+G43+H43</f>
        <v>0</v>
      </c>
      <c r="E43" s="779"/>
      <c r="F43" s="779"/>
      <c r="G43" s="250"/>
      <c r="H43" s="248"/>
      <c r="I43" s="246"/>
      <c r="J43" s="780" t="e">
        <f t="shared" si="50"/>
        <v>#DIV/0!</v>
      </c>
      <c r="K43" s="250">
        <v>0</v>
      </c>
      <c r="L43" s="250" t="e">
        <f t="shared" si="51"/>
        <v>#DIV/0!</v>
      </c>
      <c r="M43" s="779">
        <f t="shared" si="6"/>
        <v>0</v>
      </c>
      <c r="N43" s="3612"/>
      <c r="O43" s="218">
        <f t="shared" si="7"/>
        <v>0</v>
      </c>
      <c r="P43" s="2497"/>
    </row>
    <row r="44" spans="1:16" s="2241" customFormat="1" ht="15" customHeight="1" x14ac:dyDescent="0.2">
      <c r="A44" s="3692"/>
      <c r="B44" s="2496" t="s">
        <v>12</v>
      </c>
      <c r="C44" s="3694"/>
      <c r="D44" s="812">
        <f>+D45</f>
        <v>13714912.699999999</v>
      </c>
      <c r="E44" s="813">
        <f>+E45+E46</f>
        <v>11731989.699999999</v>
      </c>
      <c r="F44" s="1087">
        <f>+F45+F46</f>
        <v>1982923</v>
      </c>
      <c r="G44" s="398">
        <f>+G45+G46</f>
        <v>0</v>
      </c>
      <c r="H44" s="850">
        <f>+H45+H46</f>
        <v>0</v>
      </c>
      <c r="I44" s="812">
        <f>I45</f>
        <v>13649601.699999999</v>
      </c>
      <c r="J44" s="144">
        <f t="shared" si="50"/>
        <v>99.523795729301284</v>
      </c>
      <c r="K44" s="944">
        <f>+K45+K46</f>
        <v>0</v>
      </c>
      <c r="L44" s="250">
        <v>0</v>
      </c>
      <c r="M44" s="1087">
        <f t="shared" si="6"/>
        <v>0</v>
      </c>
      <c r="N44" s="3612"/>
      <c r="O44" s="218">
        <f t="shared" si="7"/>
        <v>65311</v>
      </c>
      <c r="P44" s="2498"/>
    </row>
    <row r="45" spans="1:16" s="1990" customFormat="1" ht="15" customHeight="1" thickBot="1" x14ac:dyDescent="0.25">
      <c r="A45" s="3693"/>
      <c r="B45" s="2499" t="s">
        <v>14</v>
      </c>
      <c r="C45" s="3695"/>
      <c r="D45" s="264">
        <f>+E45+F45+G45+H45</f>
        <v>13714912.699999999</v>
      </c>
      <c r="E45" s="263">
        <f>1318026+6017096-0.3+4396868</f>
        <v>11731989.699999999</v>
      </c>
      <c r="F45" s="263">
        <v>1982923</v>
      </c>
      <c r="G45" s="818">
        <v>0</v>
      </c>
      <c r="H45" s="272">
        <v>0</v>
      </c>
      <c r="I45" s="264">
        <f>F45+K45+E45-65311</f>
        <v>13649601.699999999</v>
      </c>
      <c r="J45" s="801">
        <f t="shared" si="50"/>
        <v>99.523795729301284</v>
      </c>
      <c r="K45" s="250">
        <v>0</v>
      </c>
      <c r="L45" s="818">
        <v>0</v>
      </c>
      <c r="M45" s="263">
        <f t="shared" si="6"/>
        <v>0</v>
      </c>
      <c r="N45" s="3645"/>
      <c r="O45" s="218">
        <f t="shared" si="7"/>
        <v>65311</v>
      </c>
      <c r="P45" s="2497"/>
    </row>
    <row r="46" spans="1:16" s="2241" customFormat="1" ht="13.5" hidden="1" customHeight="1" thickBot="1" x14ac:dyDescent="0.25">
      <c r="A46" s="2500"/>
      <c r="B46" s="2501" t="s">
        <v>13</v>
      </c>
      <c r="C46" s="2502"/>
      <c r="D46" s="2503">
        <f>+E46+F46+G46+H46</f>
        <v>0</v>
      </c>
      <c r="E46" s="2504">
        <v>0</v>
      </c>
      <c r="F46" s="2505"/>
      <c r="G46" s="2506"/>
      <c r="H46" s="2507"/>
      <c r="I46" s="2508"/>
      <c r="J46" s="1828" t="e">
        <f t="shared" si="50"/>
        <v>#DIV/0!</v>
      </c>
      <c r="K46" s="1829"/>
      <c r="L46" s="2509">
        <v>10</v>
      </c>
      <c r="M46" s="2506">
        <f t="shared" si="6"/>
        <v>0</v>
      </c>
      <c r="N46" s="2510"/>
      <c r="O46" s="218">
        <f t="shared" si="7"/>
        <v>0</v>
      </c>
      <c r="P46" s="2497"/>
    </row>
    <row r="47" spans="1:16" s="2486" customFormat="1" ht="54.75" customHeight="1" x14ac:dyDescent="0.2">
      <c r="A47" s="3665" t="s">
        <v>35</v>
      </c>
      <c r="B47" s="2511" t="s">
        <v>293</v>
      </c>
      <c r="C47" s="2479" t="s">
        <v>166</v>
      </c>
      <c r="D47" s="2512"/>
      <c r="E47" s="2481"/>
      <c r="F47" s="2481"/>
      <c r="G47" s="2481"/>
      <c r="H47" s="2513"/>
      <c r="I47" s="2512"/>
      <c r="J47" s="2481"/>
      <c r="K47" s="2481"/>
      <c r="L47" s="2481"/>
      <c r="M47" s="2481"/>
      <c r="N47" s="3669" t="s">
        <v>167</v>
      </c>
      <c r="O47" s="218">
        <f t="shared" si="7"/>
        <v>0</v>
      </c>
    </row>
    <row r="48" spans="1:16" s="2488" customFormat="1" ht="15" customHeight="1" x14ac:dyDescent="0.2">
      <c r="A48" s="3666"/>
      <c r="B48" s="846" t="s">
        <v>2</v>
      </c>
      <c r="C48" s="2487"/>
      <c r="D48" s="233">
        <f t="shared" ref="D48" si="55">+D49+D52</f>
        <v>29594828.699999999</v>
      </c>
      <c r="E48" s="234">
        <f>+E49+E52</f>
        <v>26236360.699999999</v>
      </c>
      <c r="F48" s="234">
        <f t="shared" ref="F48:G48" si="56">+F49+F52</f>
        <v>3358468</v>
      </c>
      <c r="G48" s="287">
        <f t="shared" si="56"/>
        <v>0</v>
      </c>
      <c r="H48" s="824">
        <f t="shared" ref="H48" si="57">+H49+H52</f>
        <v>0</v>
      </c>
      <c r="I48" s="233">
        <f>I49+I52</f>
        <v>29522908.699999999</v>
      </c>
      <c r="J48" s="743">
        <f t="shared" ref="J48:J59" si="58">I48/D48*100</f>
        <v>99.756984570753744</v>
      </c>
      <c r="K48" s="287">
        <f>+K49+K52</f>
        <v>0</v>
      </c>
      <c r="L48" s="287">
        <f>+L49+L52</f>
        <v>0</v>
      </c>
      <c r="M48" s="234">
        <f t="shared" si="6"/>
        <v>0</v>
      </c>
      <c r="N48" s="3670"/>
      <c r="O48" s="218">
        <f t="shared" si="7"/>
        <v>71920</v>
      </c>
    </row>
    <row r="49" spans="1:16" s="2488" customFormat="1" ht="13.5" customHeight="1" x14ac:dyDescent="0.2">
      <c r="A49" s="3666"/>
      <c r="B49" s="2514" t="s">
        <v>3</v>
      </c>
      <c r="C49" s="3208" t="s">
        <v>168</v>
      </c>
      <c r="D49" s="277">
        <f>+D51</f>
        <v>15526099</v>
      </c>
      <c r="E49" s="278">
        <f>SUM(E50:E51)</f>
        <v>13765071</v>
      </c>
      <c r="F49" s="278">
        <f>SUM(F50:F51)</f>
        <v>1761028</v>
      </c>
      <c r="G49" s="284">
        <f>SUM(G50:G51)</f>
        <v>0</v>
      </c>
      <c r="H49" s="934">
        <f>SUM(H50:H51)</f>
        <v>0</v>
      </c>
      <c r="I49" s="395">
        <f>I51</f>
        <v>15490139</v>
      </c>
      <c r="J49" s="1174">
        <f t="shared" si="58"/>
        <v>99.768389986435096</v>
      </c>
      <c r="K49" s="289">
        <f>SUM(K50:K51)</f>
        <v>0</v>
      </c>
      <c r="L49" s="289">
        <f>SUM(L50:L51)</f>
        <v>0</v>
      </c>
      <c r="M49" s="278">
        <f t="shared" si="6"/>
        <v>0</v>
      </c>
      <c r="N49" s="3670"/>
      <c r="O49" s="218">
        <f t="shared" si="7"/>
        <v>35960</v>
      </c>
    </row>
    <row r="50" spans="1:16" s="2486" customFormat="1" ht="13.5" hidden="1" customHeight="1" x14ac:dyDescent="0.2">
      <c r="A50" s="3666"/>
      <c r="B50" s="243" t="s">
        <v>4</v>
      </c>
      <c r="C50" s="3101"/>
      <c r="D50" s="2515" t="e">
        <f>+E50+F50+G50+#REF!+#REF!+#REF!</f>
        <v>#REF!</v>
      </c>
      <c r="E50" s="2516">
        <v>0</v>
      </c>
      <c r="F50" s="2516"/>
      <c r="G50" s="2517"/>
      <c r="H50" s="2517"/>
      <c r="I50" s="2518"/>
      <c r="J50" s="2519" t="e">
        <f t="shared" si="58"/>
        <v>#REF!</v>
      </c>
      <c r="K50" s="2520">
        <v>0</v>
      </c>
      <c r="L50" s="2520">
        <v>0</v>
      </c>
      <c r="M50" s="2516">
        <f t="shared" si="6"/>
        <v>0</v>
      </c>
      <c r="N50" s="3670"/>
      <c r="O50" s="218">
        <f t="shared" si="7"/>
        <v>0</v>
      </c>
    </row>
    <row r="51" spans="1:16" s="2486" customFormat="1" ht="15" customHeight="1" x14ac:dyDescent="0.2">
      <c r="A51" s="3666"/>
      <c r="B51" s="2521" t="s">
        <v>7</v>
      </c>
      <c r="C51" s="3101"/>
      <c r="D51" s="246">
        <f>+E51+F51+G51+H51</f>
        <v>15526099</v>
      </c>
      <c r="E51" s="779">
        <f>2167528+8358235+3239308</f>
        <v>13765071</v>
      </c>
      <c r="F51" s="779">
        <v>1761028</v>
      </c>
      <c r="G51" s="250">
        <v>0</v>
      </c>
      <c r="H51" s="782">
        <v>0</v>
      </c>
      <c r="I51" s="246">
        <f>F51+K51+E51-35960</f>
        <v>15490139</v>
      </c>
      <c r="J51" s="780">
        <f t="shared" si="58"/>
        <v>99.768389986435096</v>
      </c>
      <c r="K51" s="250">
        <v>0</v>
      </c>
      <c r="L51" s="250">
        <v>0</v>
      </c>
      <c r="M51" s="779">
        <f t="shared" si="6"/>
        <v>0</v>
      </c>
      <c r="N51" s="3670"/>
      <c r="O51" s="218">
        <f t="shared" si="7"/>
        <v>35960</v>
      </c>
    </row>
    <row r="52" spans="1:16" s="2486" customFormat="1" ht="15" customHeight="1" x14ac:dyDescent="0.2">
      <c r="A52" s="3666"/>
      <c r="B52" s="2514" t="s">
        <v>12</v>
      </c>
      <c r="C52" s="3101"/>
      <c r="D52" s="277">
        <f t="shared" ref="D52:H52" si="59">+D53</f>
        <v>14068729.699999999</v>
      </c>
      <c r="E52" s="278">
        <f t="shared" si="59"/>
        <v>12471289.699999999</v>
      </c>
      <c r="F52" s="278">
        <f t="shared" si="59"/>
        <v>1597440</v>
      </c>
      <c r="G52" s="284">
        <f t="shared" si="59"/>
        <v>0</v>
      </c>
      <c r="H52" s="934">
        <f t="shared" si="59"/>
        <v>0</v>
      </c>
      <c r="I52" s="395">
        <f>I53</f>
        <v>14032769.699999999</v>
      </c>
      <c r="J52" s="1174">
        <f t="shared" si="58"/>
        <v>99.744397676500967</v>
      </c>
      <c r="K52" s="289">
        <f>+K53</f>
        <v>0</v>
      </c>
      <c r="L52" s="289">
        <f>+L53</f>
        <v>0</v>
      </c>
      <c r="M52" s="278">
        <f t="shared" si="6"/>
        <v>0</v>
      </c>
      <c r="N52" s="3670"/>
      <c r="O52" s="218">
        <f t="shared" si="7"/>
        <v>35960</v>
      </c>
    </row>
    <row r="53" spans="1:16" s="2486" customFormat="1" ht="15" customHeight="1" x14ac:dyDescent="0.2">
      <c r="A53" s="3666"/>
      <c r="B53" s="2521" t="s">
        <v>14</v>
      </c>
      <c r="C53" s="3101"/>
      <c r="D53" s="246">
        <f>+E53+F53+G53+H53</f>
        <v>14068729.699999999</v>
      </c>
      <c r="E53" s="779">
        <f>2167528+8358235-0.3+1945527</f>
        <v>12471289.699999999</v>
      </c>
      <c r="F53" s="779">
        <v>1597440</v>
      </c>
      <c r="G53" s="250">
        <v>0</v>
      </c>
      <c r="H53" s="782">
        <v>0</v>
      </c>
      <c r="I53" s="246">
        <f>F53+K53+E53-35960</f>
        <v>14032769.699999999</v>
      </c>
      <c r="J53" s="780">
        <f t="shared" si="58"/>
        <v>99.744397676500967</v>
      </c>
      <c r="K53" s="250">
        <v>0</v>
      </c>
      <c r="L53" s="250">
        <v>0</v>
      </c>
      <c r="M53" s="779">
        <f t="shared" si="6"/>
        <v>0</v>
      </c>
      <c r="N53" s="3670"/>
      <c r="O53" s="218">
        <f t="shared" si="7"/>
        <v>35960</v>
      </c>
    </row>
    <row r="54" spans="1:16" s="2486" customFormat="1" ht="14.25" customHeight="1" x14ac:dyDescent="0.2">
      <c r="A54" s="3666"/>
      <c r="B54" s="846" t="s">
        <v>16</v>
      </c>
      <c r="C54" s="2487"/>
      <c r="D54" s="233">
        <f t="shared" ref="D54:H54" si="60">+D55+D58</f>
        <v>29594828.699999999</v>
      </c>
      <c r="E54" s="234">
        <f t="shared" si="60"/>
        <v>26236360.699999999</v>
      </c>
      <c r="F54" s="234">
        <f t="shared" ref="F54:G54" si="61">+F55+F58</f>
        <v>3358468</v>
      </c>
      <c r="G54" s="287">
        <f t="shared" si="61"/>
        <v>0</v>
      </c>
      <c r="H54" s="824">
        <f t="shared" si="60"/>
        <v>0</v>
      </c>
      <c r="I54" s="233">
        <f>I55+I58</f>
        <v>29522908.699999999</v>
      </c>
      <c r="J54" s="743">
        <f t="shared" si="58"/>
        <v>99.756984570753744</v>
      </c>
      <c r="K54" s="287">
        <f>+K55+K58</f>
        <v>0</v>
      </c>
      <c r="L54" s="287">
        <f>+L55+L58</f>
        <v>0</v>
      </c>
      <c r="M54" s="234">
        <f t="shared" si="6"/>
        <v>0</v>
      </c>
      <c r="N54" s="3670"/>
      <c r="O54" s="218">
        <f t="shared" si="7"/>
        <v>71920</v>
      </c>
      <c r="P54" s="2497"/>
    </row>
    <row r="55" spans="1:16" s="2241" customFormat="1" ht="14.25" customHeight="1" x14ac:dyDescent="0.2">
      <c r="A55" s="3666"/>
      <c r="B55" s="2514" t="s">
        <v>3</v>
      </c>
      <c r="C55" s="3688" t="s">
        <v>168</v>
      </c>
      <c r="D55" s="277">
        <f>+D56</f>
        <v>15526099</v>
      </c>
      <c r="E55" s="278">
        <f>+E56+E57</f>
        <v>13765071</v>
      </c>
      <c r="F55" s="278">
        <f>+F56+F57</f>
        <v>1761028</v>
      </c>
      <c r="G55" s="284">
        <f>+G56+G57</f>
        <v>0</v>
      </c>
      <c r="H55" s="934">
        <f>+H56+H57</f>
        <v>0</v>
      </c>
      <c r="I55" s="395">
        <f>I56</f>
        <v>15490139</v>
      </c>
      <c r="J55" s="1174">
        <f t="shared" si="58"/>
        <v>99.768389986435096</v>
      </c>
      <c r="K55" s="289">
        <f>+K56+K57</f>
        <v>0</v>
      </c>
      <c r="L55" s="289">
        <f>+L56+L57</f>
        <v>0</v>
      </c>
      <c r="M55" s="278">
        <f t="shared" si="6"/>
        <v>0</v>
      </c>
      <c r="N55" s="3670"/>
      <c r="O55" s="218">
        <f t="shared" si="7"/>
        <v>35960</v>
      </c>
      <c r="P55" s="2497"/>
    </row>
    <row r="56" spans="1:16" s="2241" customFormat="1" ht="14.25" customHeight="1" x14ac:dyDescent="0.2">
      <c r="A56" s="3666"/>
      <c r="B56" s="2521" t="s">
        <v>7</v>
      </c>
      <c r="C56" s="3689"/>
      <c r="D56" s="246">
        <f>+E56+F56+G56+H56</f>
        <v>15526099</v>
      </c>
      <c r="E56" s="779">
        <f>2167528+8358235+3239308</f>
        <v>13765071</v>
      </c>
      <c r="F56" s="779">
        <v>1761028</v>
      </c>
      <c r="G56" s="250">
        <v>0</v>
      </c>
      <c r="H56" s="782">
        <v>0</v>
      </c>
      <c r="I56" s="246">
        <f>F56+K56+E56-35960</f>
        <v>15490139</v>
      </c>
      <c r="J56" s="780">
        <f t="shared" si="58"/>
        <v>99.768389986435096</v>
      </c>
      <c r="K56" s="250">
        <v>0</v>
      </c>
      <c r="L56" s="250">
        <v>0</v>
      </c>
      <c r="M56" s="779">
        <f t="shared" si="6"/>
        <v>0</v>
      </c>
      <c r="N56" s="3670"/>
      <c r="O56" s="218">
        <f t="shared" si="7"/>
        <v>35960</v>
      </c>
      <c r="P56" s="2498"/>
    </row>
    <row r="57" spans="1:16" s="2241" customFormat="1" ht="12" hidden="1" customHeight="1" x14ac:dyDescent="0.2">
      <c r="A57" s="3666"/>
      <c r="B57" s="2521" t="s">
        <v>165</v>
      </c>
      <c r="C57" s="3689"/>
      <c r="D57" s="246" t="e">
        <f>+E57+F57+G57+#REF!+#REF!+#REF!</f>
        <v>#REF!</v>
      </c>
      <c r="E57" s="779"/>
      <c r="F57" s="779"/>
      <c r="G57" s="250"/>
      <c r="H57" s="782"/>
      <c r="I57" s="246"/>
      <c r="J57" s="780" t="e">
        <f t="shared" si="58"/>
        <v>#REF!</v>
      </c>
      <c r="K57" s="250">
        <v>0</v>
      </c>
      <c r="L57" s="250">
        <v>0</v>
      </c>
      <c r="M57" s="779">
        <f t="shared" si="6"/>
        <v>0</v>
      </c>
      <c r="N57" s="3670"/>
      <c r="O57" s="218">
        <f t="shared" si="7"/>
        <v>0</v>
      </c>
      <c r="P57" s="2497"/>
    </row>
    <row r="58" spans="1:16" s="2241" customFormat="1" ht="15" customHeight="1" x14ac:dyDescent="0.2">
      <c r="A58" s="3666"/>
      <c r="B58" s="2514" t="s">
        <v>12</v>
      </c>
      <c r="C58" s="3689"/>
      <c r="D58" s="277">
        <f t="shared" ref="D58:H58" si="62">+D59</f>
        <v>14068729.699999999</v>
      </c>
      <c r="E58" s="278">
        <f t="shared" si="62"/>
        <v>12471289.699999999</v>
      </c>
      <c r="F58" s="278">
        <f t="shared" ref="F58:G58" si="63">+F59</f>
        <v>1597440</v>
      </c>
      <c r="G58" s="284">
        <f t="shared" si="63"/>
        <v>0</v>
      </c>
      <c r="H58" s="934">
        <f t="shared" si="62"/>
        <v>0</v>
      </c>
      <c r="I58" s="395">
        <f>I59</f>
        <v>14032769.699999999</v>
      </c>
      <c r="J58" s="1174">
        <f t="shared" si="58"/>
        <v>99.744397676500967</v>
      </c>
      <c r="K58" s="289">
        <f>+K59</f>
        <v>0</v>
      </c>
      <c r="L58" s="289">
        <f>+L59</f>
        <v>0</v>
      </c>
      <c r="M58" s="278">
        <f t="shared" si="6"/>
        <v>0</v>
      </c>
      <c r="N58" s="3670"/>
      <c r="O58" s="218">
        <f t="shared" si="7"/>
        <v>35960</v>
      </c>
      <c r="P58" s="2498"/>
    </row>
    <row r="59" spans="1:16" s="2241" customFormat="1" ht="15" customHeight="1" thickBot="1" x14ac:dyDescent="0.25">
      <c r="A59" s="3657"/>
      <c r="B59" s="2522" t="s">
        <v>14</v>
      </c>
      <c r="C59" s="3690"/>
      <c r="D59" s="264">
        <f>+E59+F59+G59+H59</f>
        <v>14068729.699999999</v>
      </c>
      <c r="E59" s="263">
        <f>2167528+8358235-0.3+1945527</f>
        <v>12471289.699999999</v>
      </c>
      <c r="F59" s="263">
        <v>1597440</v>
      </c>
      <c r="G59" s="818">
        <v>0</v>
      </c>
      <c r="H59" s="876">
        <v>0</v>
      </c>
      <c r="I59" s="264">
        <f>F59+K59+E59-35960</f>
        <v>14032769.699999999</v>
      </c>
      <c r="J59" s="801">
        <f t="shared" si="58"/>
        <v>99.744397676500967</v>
      </c>
      <c r="K59" s="250">
        <v>0</v>
      </c>
      <c r="L59" s="250">
        <v>0</v>
      </c>
      <c r="M59" s="263">
        <f t="shared" si="6"/>
        <v>0</v>
      </c>
      <c r="N59" s="3659"/>
      <c r="O59" s="218">
        <f t="shared" si="7"/>
        <v>35960</v>
      </c>
      <c r="P59" s="2497"/>
    </row>
    <row r="60" spans="1:16" s="2241" customFormat="1" ht="66" hidden="1" customHeight="1" x14ac:dyDescent="0.2">
      <c r="A60" s="3617" t="s">
        <v>40</v>
      </c>
      <c r="B60" s="2478" t="s">
        <v>291</v>
      </c>
      <c r="C60" s="2523" t="s">
        <v>166</v>
      </c>
      <c r="D60" s="2480"/>
      <c r="E60" s="2481"/>
      <c r="F60" s="2481"/>
      <c r="G60" s="2524"/>
      <c r="H60" s="2525"/>
      <c r="I60" s="2512"/>
      <c r="J60" s="2481"/>
      <c r="K60" s="2481"/>
      <c r="L60" s="2526"/>
      <c r="M60" s="2481">
        <f t="shared" si="6"/>
        <v>0</v>
      </c>
      <c r="N60" s="3672" t="s">
        <v>169</v>
      </c>
      <c r="O60" s="218">
        <f t="shared" si="7"/>
        <v>0</v>
      </c>
    </row>
    <row r="61" spans="1:16" s="2241" customFormat="1" ht="15.75" hidden="1" customHeight="1" x14ac:dyDescent="0.2">
      <c r="A61" s="3615"/>
      <c r="B61" s="806" t="s">
        <v>2</v>
      </c>
      <c r="C61" s="2527"/>
      <c r="D61" s="2528">
        <f t="shared" ref="D61" si="64">+D62+D65</f>
        <v>0</v>
      </c>
      <c r="E61" s="234">
        <f>+E62+E65</f>
        <v>0</v>
      </c>
      <c r="F61" s="234">
        <f>+F62+F65</f>
        <v>0</v>
      </c>
      <c r="G61" s="2529">
        <f t="shared" ref="G61:H61" si="65">+G62+G65</f>
        <v>0</v>
      </c>
      <c r="H61" s="785">
        <f t="shared" si="65"/>
        <v>0</v>
      </c>
      <c r="I61" s="233">
        <f>I62+I65</f>
        <v>0</v>
      </c>
      <c r="J61" s="743" t="e">
        <f t="shared" ref="J61:J72" si="66">I61/D61*100</f>
        <v>#DIV/0!</v>
      </c>
      <c r="K61" s="287">
        <f>+K62+K65</f>
        <v>0</v>
      </c>
      <c r="L61" s="1579">
        <v>0</v>
      </c>
      <c r="M61" s="287">
        <f t="shared" si="6"/>
        <v>0</v>
      </c>
      <c r="N61" s="3673"/>
      <c r="O61" s="218">
        <f t="shared" si="7"/>
        <v>0</v>
      </c>
    </row>
    <row r="62" spans="1:16" s="2241" customFormat="1" ht="15.75" hidden="1" customHeight="1" x14ac:dyDescent="0.2">
      <c r="A62" s="3615"/>
      <c r="B62" s="1319" t="s">
        <v>3</v>
      </c>
      <c r="C62" s="3677" t="s">
        <v>170</v>
      </c>
      <c r="D62" s="2530">
        <f>+D64</f>
        <v>0</v>
      </c>
      <c r="E62" s="278">
        <f>SUM(E63:E64)</f>
        <v>0</v>
      </c>
      <c r="F62" s="278">
        <f>SUM(F63:F64)</f>
        <v>0</v>
      </c>
      <c r="G62" s="2531">
        <f>SUM(G63:G64)</f>
        <v>0</v>
      </c>
      <c r="H62" s="2532">
        <f>SUM(H63:H64)</f>
        <v>0</v>
      </c>
      <c r="I62" s="395">
        <f>SUM(I63:I64)</f>
        <v>0</v>
      </c>
      <c r="J62" s="1174" t="e">
        <f t="shared" si="66"/>
        <v>#DIV/0!</v>
      </c>
      <c r="K62" s="289">
        <f>SUM(K63:K64)</f>
        <v>0</v>
      </c>
      <c r="L62" s="2533">
        <v>0</v>
      </c>
      <c r="M62" s="284">
        <f t="shared" si="6"/>
        <v>0</v>
      </c>
      <c r="N62" s="3673"/>
      <c r="O62" s="218">
        <f t="shared" si="7"/>
        <v>0</v>
      </c>
    </row>
    <row r="63" spans="1:16" s="2241" customFormat="1" ht="12" hidden="1" customHeight="1" x14ac:dyDescent="0.2">
      <c r="A63" s="3615"/>
      <c r="B63" s="793" t="s">
        <v>4</v>
      </c>
      <c r="C63" s="3678"/>
      <c r="D63" s="2534" t="e">
        <f>+E63+F63+G63+#REF!+#REF!+#REF!</f>
        <v>#REF!</v>
      </c>
      <c r="E63" s="2490">
        <v>0</v>
      </c>
      <c r="F63" s="2490">
        <v>0</v>
      </c>
      <c r="G63" s="2535">
        <v>0</v>
      </c>
      <c r="H63" s="2517"/>
      <c r="I63" s="2518"/>
      <c r="J63" s="2519" t="e">
        <f t="shared" si="66"/>
        <v>#REF!</v>
      </c>
      <c r="K63" s="2520"/>
      <c r="L63" s="2387" t="e">
        <f>K63/G63*100</f>
        <v>#DIV/0!</v>
      </c>
      <c r="M63" s="2491">
        <f t="shared" si="6"/>
        <v>0</v>
      </c>
      <c r="N63" s="3674"/>
      <c r="O63" s="218">
        <f t="shared" si="7"/>
        <v>0</v>
      </c>
    </row>
    <row r="64" spans="1:16" s="2241" customFormat="1" ht="15" hidden="1" customHeight="1" x14ac:dyDescent="0.2">
      <c r="A64" s="3615"/>
      <c r="B64" s="2536" t="s">
        <v>7</v>
      </c>
      <c r="C64" s="3679"/>
      <c r="D64" s="2537">
        <f>+E64+F64+G64+H64</f>
        <v>0</v>
      </c>
      <c r="E64" s="779"/>
      <c r="F64" s="779"/>
      <c r="G64" s="2538">
        <v>0</v>
      </c>
      <c r="H64" s="791">
        <v>0</v>
      </c>
      <c r="I64" s="246"/>
      <c r="J64" s="780" t="e">
        <f t="shared" si="66"/>
        <v>#DIV/0!</v>
      </c>
      <c r="K64" s="250">
        <v>0</v>
      </c>
      <c r="L64" s="1188">
        <v>0</v>
      </c>
      <c r="M64" s="250">
        <f t="shared" si="6"/>
        <v>0</v>
      </c>
      <c r="N64" s="3675"/>
      <c r="O64" s="218">
        <f t="shared" si="7"/>
        <v>0</v>
      </c>
    </row>
    <row r="65" spans="1:16" s="2241" customFormat="1" ht="15" hidden="1" customHeight="1" x14ac:dyDescent="0.2">
      <c r="A65" s="3615"/>
      <c r="B65" s="2539" t="s">
        <v>12</v>
      </c>
      <c r="C65" s="3679"/>
      <c r="D65" s="2530">
        <f t="shared" ref="D65:H65" si="67">+D66</f>
        <v>0</v>
      </c>
      <c r="E65" s="278">
        <f t="shared" si="67"/>
        <v>0</v>
      </c>
      <c r="F65" s="278">
        <f t="shared" si="67"/>
        <v>0</v>
      </c>
      <c r="G65" s="2531">
        <f t="shared" si="67"/>
        <v>0</v>
      </c>
      <c r="H65" s="2532">
        <f t="shared" si="67"/>
        <v>0</v>
      </c>
      <c r="I65" s="395">
        <f t="shared" ref="I65" si="68">+I66</f>
        <v>0</v>
      </c>
      <c r="J65" s="1174" t="e">
        <f t="shared" si="66"/>
        <v>#DIV/0!</v>
      </c>
      <c r="K65" s="289">
        <f>+K66</f>
        <v>0</v>
      </c>
      <c r="L65" s="2533">
        <v>0</v>
      </c>
      <c r="M65" s="284">
        <f t="shared" si="6"/>
        <v>0</v>
      </c>
      <c r="N65" s="3673"/>
      <c r="O65" s="218">
        <f t="shared" si="7"/>
        <v>0</v>
      </c>
    </row>
    <row r="66" spans="1:16" s="2241" customFormat="1" ht="15" hidden="1" customHeight="1" x14ac:dyDescent="0.2">
      <c r="A66" s="3615"/>
      <c r="B66" s="793" t="s">
        <v>14</v>
      </c>
      <c r="C66" s="3679"/>
      <c r="D66" s="2537">
        <f>+E66+F66+G66+H66</f>
        <v>0</v>
      </c>
      <c r="E66" s="779"/>
      <c r="F66" s="779"/>
      <c r="G66" s="2538">
        <v>0</v>
      </c>
      <c r="H66" s="791">
        <v>0</v>
      </c>
      <c r="I66" s="246"/>
      <c r="J66" s="780" t="e">
        <f t="shared" si="66"/>
        <v>#DIV/0!</v>
      </c>
      <c r="K66" s="250">
        <v>0</v>
      </c>
      <c r="L66" s="1188">
        <v>0</v>
      </c>
      <c r="M66" s="250">
        <f t="shared" si="6"/>
        <v>0</v>
      </c>
      <c r="N66" s="3673"/>
      <c r="O66" s="218">
        <f t="shared" si="7"/>
        <v>0</v>
      </c>
    </row>
    <row r="67" spans="1:16" s="2241" customFormat="1" ht="15" hidden="1" customHeight="1" x14ac:dyDescent="0.2">
      <c r="A67" s="3615"/>
      <c r="B67" s="806" t="s">
        <v>16</v>
      </c>
      <c r="C67" s="2527"/>
      <c r="D67" s="2528">
        <f t="shared" ref="D67" si="69">+D68+D71</f>
        <v>0</v>
      </c>
      <c r="E67" s="234">
        <f>+E68+E71</f>
        <v>0</v>
      </c>
      <c r="F67" s="287">
        <f>+F68+F71</f>
        <v>0</v>
      </c>
      <c r="G67" s="2529">
        <f t="shared" ref="G67:H67" si="70">+G68+G71</f>
        <v>0</v>
      </c>
      <c r="H67" s="785">
        <f t="shared" si="70"/>
        <v>0</v>
      </c>
      <c r="I67" s="233">
        <f t="shared" ref="I67" si="71">+I68+I71</f>
        <v>0</v>
      </c>
      <c r="J67" s="743" t="e">
        <f t="shared" si="66"/>
        <v>#DIV/0!</v>
      </c>
      <c r="K67" s="287">
        <f>+K68+K71</f>
        <v>0</v>
      </c>
      <c r="L67" s="287">
        <v>0</v>
      </c>
      <c r="M67" s="287">
        <f t="shared" si="6"/>
        <v>0</v>
      </c>
      <c r="N67" s="3673"/>
      <c r="O67" s="218">
        <f t="shared" si="7"/>
        <v>0</v>
      </c>
    </row>
    <row r="68" spans="1:16" s="2241" customFormat="1" ht="15" hidden="1" customHeight="1" x14ac:dyDescent="0.2">
      <c r="A68" s="3615"/>
      <c r="B68" s="1319" t="s">
        <v>3</v>
      </c>
      <c r="C68" s="2540"/>
      <c r="D68" s="2530">
        <f>+D69</f>
        <v>0</v>
      </c>
      <c r="E68" s="278">
        <f>+E69+E70</f>
        <v>0</v>
      </c>
      <c r="F68" s="284">
        <f>+F69+F70</f>
        <v>0</v>
      </c>
      <c r="G68" s="2531">
        <f>+G69+G70</f>
        <v>0</v>
      </c>
      <c r="H68" s="2532">
        <f>+H69+H70</f>
        <v>0</v>
      </c>
      <c r="I68" s="395">
        <f>+I69+I70</f>
        <v>0</v>
      </c>
      <c r="J68" s="1174" t="e">
        <f t="shared" si="66"/>
        <v>#DIV/0!</v>
      </c>
      <c r="K68" s="289">
        <f>+K69+K70</f>
        <v>0</v>
      </c>
      <c r="L68" s="944">
        <v>0</v>
      </c>
      <c r="M68" s="284">
        <f t="shared" si="6"/>
        <v>0</v>
      </c>
      <c r="N68" s="3673"/>
      <c r="O68" s="218">
        <f t="shared" si="7"/>
        <v>0</v>
      </c>
    </row>
    <row r="69" spans="1:16" s="2241" customFormat="1" ht="15" hidden="1" customHeight="1" x14ac:dyDescent="0.2">
      <c r="A69" s="3615"/>
      <c r="B69" s="2536" t="s">
        <v>7</v>
      </c>
      <c r="C69" s="2540"/>
      <c r="D69" s="2537">
        <f>+E69+F69+G69+H69</f>
        <v>0</v>
      </c>
      <c r="E69" s="779"/>
      <c r="F69" s="250">
        <v>0</v>
      </c>
      <c r="G69" s="2538">
        <v>0</v>
      </c>
      <c r="H69" s="791">
        <v>0</v>
      </c>
      <c r="I69" s="246"/>
      <c r="J69" s="780" t="e">
        <f t="shared" si="66"/>
        <v>#DIV/0!</v>
      </c>
      <c r="K69" s="250">
        <v>0</v>
      </c>
      <c r="L69" s="250">
        <v>0</v>
      </c>
      <c r="M69" s="250">
        <f t="shared" si="6"/>
        <v>0</v>
      </c>
      <c r="N69" s="3673"/>
      <c r="O69" s="218">
        <f t="shared" si="7"/>
        <v>0</v>
      </c>
    </row>
    <row r="70" spans="1:16" s="2241" customFormat="1" ht="12" hidden="1" customHeight="1" x14ac:dyDescent="0.2">
      <c r="A70" s="3615"/>
      <c r="B70" s="793" t="s">
        <v>165</v>
      </c>
      <c r="C70" s="2540"/>
      <c r="D70" s="2541" t="e">
        <f>+E70+F70+G70+#REF!+#REF!+#REF!</f>
        <v>#REF!</v>
      </c>
      <c r="E70" s="2516">
        <v>0</v>
      </c>
      <c r="F70" s="2517">
        <v>0</v>
      </c>
      <c r="G70" s="2542">
        <v>0</v>
      </c>
      <c r="H70" s="2517"/>
      <c r="I70" s="2518"/>
      <c r="J70" s="2519" t="e">
        <f t="shared" si="66"/>
        <v>#REF!</v>
      </c>
      <c r="K70" s="2520"/>
      <c r="L70" s="2294" t="e">
        <f>K70/G70*100</f>
        <v>#DIV/0!</v>
      </c>
      <c r="M70" s="2491">
        <f t="shared" si="6"/>
        <v>0</v>
      </c>
      <c r="N70" s="3673"/>
      <c r="O70" s="218">
        <f t="shared" si="7"/>
        <v>0</v>
      </c>
    </row>
    <row r="71" spans="1:16" s="2241" customFormat="1" ht="15" hidden="1" customHeight="1" thickBot="1" x14ac:dyDescent="0.25">
      <c r="A71" s="3615"/>
      <c r="B71" s="2539" t="s">
        <v>12</v>
      </c>
      <c r="C71" s="2540"/>
      <c r="D71" s="2530">
        <f t="shared" ref="D71:H71" si="72">+D72+D130</f>
        <v>0</v>
      </c>
      <c r="E71" s="278">
        <f t="shared" si="72"/>
        <v>0</v>
      </c>
      <c r="F71" s="284">
        <f t="shared" si="72"/>
        <v>0</v>
      </c>
      <c r="G71" s="2531">
        <f t="shared" si="72"/>
        <v>0</v>
      </c>
      <c r="H71" s="2532">
        <f t="shared" si="72"/>
        <v>0</v>
      </c>
      <c r="I71" s="395">
        <f t="shared" ref="I71" si="73">+I72+I130</f>
        <v>0</v>
      </c>
      <c r="J71" s="1174" t="e">
        <f t="shared" si="66"/>
        <v>#DIV/0!</v>
      </c>
      <c r="K71" s="289">
        <f>+K72+K130</f>
        <v>0</v>
      </c>
      <c r="L71" s="944">
        <v>0</v>
      </c>
      <c r="M71" s="284">
        <f t="shared" si="6"/>
        <v>0</v>
      </c>
      <c r="N71" s="3674"/>
      <c r="O71" s="218">
        <f t="shared" si="7"/>
        <v>0</v>
      </c>
    </row>
    <row r="72" spans="1:16" s="2241" customFormat="1" ht="15" hidden="1" customHeight="1" thickBot="1" x14ac:dyDescent="0.25">
      <c r="A72" s="3636"/>
      <c r="B72" s="280" t="s">
        <v>14</v>
      </c>
      <c r="C72" s="1422"/>
      <c r="D72" s="2543">
        <f>+E72+F72+G72+H72</f>
        <v>0</v>
      </c>
      <c r="E72" s="1220"/>
      <c r="F72" s="1220">
        <v>0</v>
      </c>
      <c r="G72" s="2544">
        <v>0</v>
      </c>
      <c r="H72" s="272">
        <v>0</v>
      </c>
      <c r="I72" s="264"/>
      <c r="J72" s="801" t="e">
        <f t="shared" si="66"/>
        <v>#DIV/0!</v>
      </c>
      <c r="K72" s="818">
        <v>0</v>
      </c>
      <c r="L72" s="818">
        <v>0</v>
      </c>
      <c r="M72" s="818">
        <f t="shared" si="6"/>
        <v>0</v>
      </c>
      <c r="N72" s="3676"/>
      <c r="O72" s="218">
        <f t="shared" si="7"/>
        <v>0</v>
      </c>
    </row>
    <row r="73" spans="1:16" ht="45" customHeight="1" x14ac:dyDescent="0.2">
      <c r="A73" s="3680" t="s">
        <v>40</v>
      </c>
      <c r="B73" s="2511" t="s">
        <v>290</v>
      </c>
      <c r="C73" s="2523" t="s">
        <v>171</v>
      </c>
      <c r="D73" s="2545"/>
      <c r="E73" s="2546"/>
      <c r="F73" s="2547"/>
      <c r="G73" s="2547"/>
      <c r="H73" s="2548"/>
      <c r="I73" s="2549"/>
      <c r="J73" s="2550"/>
      <c r="K73" s="2547"/>
      <c r="L73" s="2547"/>
      <c r="M73" s="2547"/>
      <c r="N73" s="3669" t="s">
        <v>172</v>
      </c>
      <c r="O73" s="218">
        <f t="shared" si="7"/>
        <v>0</v>
      </c>
    </row>
    <row r="74" spans="1:16" ht="12.95" customHeight="1" x14ac:dyDescent="0.2">
      <c r="A74" s="3681"/>
      <c r="B74" s="846" t="s">
        <v>2</v>
      </c>
      <c r="C74" s="2551"/>
      <c r="D74" s="233">
        <f t="shared" ref="D74:H74" si="74">+D75+D79</f>
        <v>6870332</v>
      </c>
      <c r="E74" s="234">
        <f t="shared" si="74"/>
        <v>2646332</v>
      </c>
      <c r="F74" s="234">
        <f t="shared" si="74"/>
        <v>1441000</v>
      </c>
      <c r="G74" s="234">
        <f t="shared" si="74"/>
        <v>1483000</v>
      </c>
      <c r="H74" s="235">
        <f t="shared" si="74"/>
        <v>1300000</v>
      </c>
      <c r="I74" s="233">
        <f>I75+I79</f>
        <v>4375880.83</v>
      </c>
      <c r="J74" s="743">
        <f t="shared" ref="J74:J91" si="75">I74/D74*100</f>
        <v>63.692421705384838</v>
      </c>
      <c r="K74" s="234">
        <f>+K75+K79</f>
        <v>322087.83</v>
      </c>
      <c r="L74" s="743">
        <f>K74/G74*100</f>
        <v>21.718666891436278</v>
      </c>
      <c r="M74" s="234">
        <f t="shared" ref="M74:M138" si="76">+K74-G74</f>
        <v>-1160912.17</v>
      </c>
      <c r="N74" s="3670"/>
      <c r="O74" s="218">
        <f t="shared" ref="O74:O138" si="77">E74+F74+K74-I74</f>
        <v>33539</v>
      </c>
      <c r="P74" s="2421"/>
    </row>
    <row r="75" spans="1:16" ht="12.95" customHeight="1" x14ac:dyDescent="0.2">
      <c r="A75" s="3681"/>
      <c r="B75" s="2514" t="s">
        <v>3</v>
      </c>
      <c r="C75" s="3671" t="s">
        <v>170</v>
      </c>
      <c r="D75" s="395">
        <f>+D76+D78+D77</f>
        <v>1872033.7</v>
      </c>
      <c r="E75" s="842">
        <f>SUM(E76:E78)</f>
        <v>753033.7</v>
      </c>
      <c r="F75" s="842">
        <f>SUM(F76:F78)</f>
        <v>391000</v>
      </c>
      <c r="G75" s="842">
        <f>SUM(G76:G78)</f>
        <v>403000</v>
      </c>
      <c r="H75" s="2552">
        <f>SUM(H77:H78)</f>
        <v>325000</v>
      </c>
      <c r="I75" s="395">
        <f>I76+I78+I77</f>
        <v>1219035.3</v>
      </c>
      <c r="J75" s="1174">
        <f t="shared" si="75"/>
        <v>65.118234783914417</v>
      </c>
      <c r="K75" s="842">
        <f>K76+K78+K77</f>
        <v>85304.6</v>
      </c>
      <c r="L75" s="1174">
        <f>K75/G75*100</f>
        <v>21.167394540942929</v>
      </c>
      <c r="M75" s="842">
        <f t="shared" si="76"/>
        <v>-317695.40000000002</v>
      </c>
      <c r="N75" s="3670"/>
      <c r="O75" s="218">
        <f t="shared" si="77"/>
        <v>10303</v>
      </c>
    </row>
    <row r="76" spans="1:16" ht="12.95" customHeight="1" x14ac:dyDescent="0.2">
      <c r="A76" s="3681"/>
      <c r="B76" s="243" t="s">
        <v>4</v>
      </c>
      <c r="C76" s="3671"/>
      <c r="D76" s="246">
        <f>+E76+F76+G76+H76</f>
        <v>74756</v>
      </c>
      <c r="E76" s="779">
        <v>74756</v>
      </c>
      <c r="F76" s="250">
        <v>0</v>
      </c>
      <c r="G76" s="250">
        <v>0</v>
      </c>
      <c r="H76" s="248">
        <v>0</v>
      </c>
      <c r="I76" s="246">
        <f>F76+K76+E76</f>
        <v>74756</v>
      </c>
      <c r="J76" s="780">
        <f t="shared" si="75"/>
        <v>100</v>
      </c>
      <c r="K76" s="250">
        <v>0</v>
      </c>
      <c r="L76" s="250">
        <v>0</v>
      </c>
      <c r="M76" s="250">
        <f t="shared" si="76"/>
        <v>0</v>
      </c>
      <c r="N76" s="3670"/>
      <c r="O76" s="218">
        <f t="shared" si="77"/>
        <v>0</v>
      </c>
    </row>
    <row r="77" spans="1:16" ht="12.95" customHeight="1" x14ac:dyDescent="0.2">
      <c r="A77" s="3681"/>
      <c r="B77" s="243" t="s">
        <v>7</v>
      </c>
      <c r="C77" s="3671"/>
      <c r="D77" s="246">
        <f>+E77+F77+G77+H77</f>
        <v>1680569</v>
      </c>
      <c r="E77" s="779">
        <f>186654+374915</f>
        <v>561569</v>
      </c>
      <c r="F77" s="2553">
        <v>391000</v>
      </c>
      <c r="G77" s="779">
        <v>403000</v>
      </c>
      <c r="H77" s="1214">
        <v>325000</v>
      </c>
      <c r="I77" s="246">
        <f>F77+K77+E77-10303</f>
        <v>1027570.6</v>
      </c>
      <c r="J77" s="780">
        <f t="shared" si="75"/>
        <v>61.144207705842476</v>
      </c>
      <c r="K77" s="779">
        <v>85304.6</v>
      </c>
      <c r="L77" s="780">
        <f>K77/G77*100</f>
        <v>21.167394540942929</v>
      </c>
      <c r="M77" s="779">
        <f t="shared" si="76"/>
        <v>-317695.40000000002</v>
      </c>
      <c r="N77" s="3670"/>
      <c r="O77" s="218">
        <f t="shared" si="77"/>
        <v>10303</v>
      </c>
    </row>
    <row r="78" spans="1:16" ht="12.95" customHeight="1" x14ac:dyDescent="0.2">
      <c r="A78" s="3681"/>
      <c r="B78" s="243" t="s">
        <v>8</v>
      </c>
      <c r="C78" s="3671"/>
      <c r="D78" s="246">
        <f>+E78+F78+G78+H78</f>
        <v>116708.7</v>
      </c>
      <c r="E78" s="779">
        <f>4966+111743-0.3</f>
        <v>116708.7</v>
      </c>
      <c r="F78" s="250">
        <v>0</v>
      </c>
      <c r="G78" s="250">
        <v>0</v>
      </c>
      <c r="H78" s="248">
        <v>0</v>
      </c>
      <c r="I78" s="246">
        <f>F78+K78+E78</f>
        <v>116708.7</v>
      </c>
      <c r="J78" s="780">
        <f t="shared" si="75"/>
        <v>100</v>
      </c>
      <c r="K78" s="250">
        <v>0</v>
      </c>
      <c r="L78" s="250">
        <v>0</v>
      </c>
      <c r="M78" s="250">
        <f t="shared" si="76"/>
        <v>0</v>
      </c>
      <c r="N78" s="3670"/>
      <c r="O78" s="218">
        <f t="shared" si="77"/>
        <v>0</v>
      </c>
    </row>
    <row r="79" spans="1:16" ht="12.95" customHeight="1" x14ac:dyDescent="0.2">
      <c r="A79" s="3681"/>
      <c r="B79" s="2514" t="s">
        <v>12</v>
      </c>
      <c r="C79" s="3671"/>
      <c r="D79" s="395">
        <f>+D82+D81+D80</f>
        <v>4998298.3</v>
      </c>
      <c r="E79" s="842">
        <f>E82+E81+E80</f>
        <v>1893298.3</v>
      </c>
      <c r="F79" s="842">
        <f t="shared" ref="F79:H79" si="78">F82+F81+F80</f>
        <v>1050000</v>
      </c>
      <c r="G79" s="842">
        <f t="shared" si="78"/>
        <v>1080000</v>
      </c>
      <c r="H79" s="842">
        <f t="shared" si="78"/>
        <v>975000</v>
      </c>
      <c r="I79" s="395">
        <f>+I82+I81+I80</f>
        <v>3156845.53</v>
      </c>
      <c r="J79" s="1174">
        <f t="shared" si="75"/>
        <v>63.158405931874853</v>
      </c>
      <c r="K79" s="2554">
        <f>+K82+K81+K80</f>
        <v>236783.23</v>
      </c>
      <c r="L79" s="1174">
        <f>K79/G79*100</f>
        <v>21.924373148148149</v>
      </c>
      <c r="M79" s="842">
        <f t="shared" si="76"/>
        <v>-843216.77</v>
      </c>
      <c r="N79" s="3670"/>
      <c r="O79" s="218">
        <f t="shared" si="77"/>
        <v>23236</v>
      </c>
    </row>
    <row r="80" spans="1:16" ht="12.95" customHeight="1" x14ac:dyDescent="0.2">
      <c r="A80" s="3681"/>
      <c r="B80" s="243" t="s">
        <v>4</v>
      </c>
      <c r="C80" s="3671"/>
      <c r="D80" s="246">
        <f>+E80+F80+G80+H80</f>
        <v>53022</v>
      </c>
      <c r="E80" s="779">
        <v>53022</v>
      </c>
      <c r="F80" s="2555">
        <v>0</v>
      </c>
      <c r="G80" s="2555">
        <v>0</v>
      </c>
      <c r="H80" s="908">
        <v>0</v>
      </c>
      <c r="I80" s="246">
        <f>F80+K80+E80</f>
        <v>53022</v>
      </c>
      <c r="J80" s="780">
        <f t="shared" ref="J80" si="79">I80/D80*100</f>
        <v>100</v>
      </c>
      <c r="K80" s="906">
        <v>0</v>
      </c>
      <c r="L80" s="1174"/>
      <c r="M80" s="842"/>
      <c r="N80" s="3670"/>
      <c r="O80" s="218"/>
    </row>
    <row r="81" spans="1:15" ht="12.95" customHeight="1" x14ac:dyDescent="0.2">
      <c r="A81" s="3681"/>
      <c r="B81" s="243" t="s">
        <v>14</v>
      </c>
      <c r="C81" s="3671"/>
      <c r="D81" s="246">
        <f>+E81+F81+G81+H81</f>
        <v>4631316</v>
      </c>
      <c r="E81" s="779">
        <f>559040+967276</f>
        <v>1526316</v>
      </c>
      <c r="F81" s="2553">
        <v>1050000</v>
      </c>
      <c r="G81" s="779">
        <v>1080000</v>
      </c>
      <c r="H81" s="1214">
        <v>975000</v>
      </c>
      <c r="I81" s="246">
        <f>F81+K81+E81-23236</f>
        <v>2789863.23</v>
      </c>
      <c r="J81" s="780">
        <f t="shared" si="75"/>
        <v>60.239103313183548</v>
      </c>
      <c r="K81" s="779">
        <v>236783.23</v>
      </c>
      <c r="L81" s="780">
        <f>K81/G81*100</f>
        <v>21.924373148148149</v>
      </c>
      <c r="M81" s="779">
        <f t="shared" si="76"/>
        <v>-843216.77</v>
      </c>
      <c r="N81" s="3670"/>
      <c r="O81" s="218">
        <f t="shared" si="77"/>
        <v>23236</v>
      </c>
    </row>
    <row r="82" spans="1:15" ht="12.95" customHeight="1" x14ac:dyDescent="0.2">
      <c r="A82" s="3681"/>
      <c r="B82" s="243" t="s">
        <v>8</v>
      </c>
      <c r="C82" s="3671"/>
      <c r="D82" s="246">
        <f>+E82+F82+G82+H82</f>
        <v>313960.3</v>
      </c>
      <c r="E82" s="779">
        <f>14897+299063+0.3</f>
        <v>313960.3</v>
      </c>
      <c r="F82" s="250">
        <v>0</v>
      </c>
      <c r="G82" s="250">
        <v>0</v>
      </c>
      <c r="H82" s="248">
        <v>0</v>
      </c>
      <c r="I82" s="246">
        <f>F82+K82+E82</f>
        <v>313960.3</v>
      </c>
      <c r="J82" s="780">
        <f t="shared" si="75"/>
        <v>100</v>
      </c>
      <c r="K82" s="250">
        <v>0</v>
      </c>
      <c r="L82" s="250">
        <v>0</v>
      </c>
      <c r="M82" s="250">
        <f t="shared" si="76"/>
        <v>0</v>
      </c>
      <c r="N82" s="3670"/>
      <c r="O82" s="218">
        <f t="shared" si="77"/>
        <v>0</v>
      </c>
    </row>
    <row r="83" spans="1:15" ht="12.95" customHeight="1" x14ac:dyDescent="0.2">
      <c r="A83" s="3681"/>
      <c r="B83" s="846" t="s">
        <v>16</v>
      </c>
      <c r="C83" s="2551"/>
      <c r="D83" s="233">
        <f>+D84+D88</f>
        <v>6813250</v>
      </c>
      <c r="E83" s="234">
        <f>+E84+E88</f>
        <v>2589250</v>
      </c>
      <c r="F83" s="234">
        <f>+F84+F88</f>
        <v>1441000</v>
      </c>
      <c r="G83" s="234">
        <f>+G84+G88</f>
        <v>1483000</v>
      </c>
      <c r="H83" s="235">
        <f>+H84+H88</f>
        <v>1300000</v>
      </c>
      <c r="I83" s="233">
        <f>I84+I88</f>
        <v>4363466</v>
      </c>
      <c r="J83" s="743">
        <f t="shared" si="75"/>
        <v>64.043826367739328</v>
      </c>
      <c r="K83" s="234">
        <f>+K84+K88</f>
        <v>366755</v>
      </c>
      <c r="L83" s="743">
        <f>K83/G83*100</f>
        <v>24.730613621038437</v>
      </c>
      <c r="M83" s="234">
        <f t="shared" si="76"/>
        <v>-1116245</v>
      </c>
      <c r="N83" s="3670"/>
      <c r="O83" s="218">
        <f t="shared" si="77"/>
        <v>33539</v>
      </c>
    </row>
    <row r="84" spans="1:15" ht="12.95" customHeight="1" x14ac:dyDescent="0.2">
      <c r="A84" s="3681"/>
      <c r="B84" s="2514" t="s">
        <v>3</v>
      </c>
      <c r="C84" s="3671" t="s">
        <v>170</v>
      </c>
      <c r="D84" s="395">
        <f>+D86+D85+D87</f>
        <v>1814951.7</v>
      </c>
      <c r="E84" s="842">
        <f>E85+E86+E87</f>
        <v>695951.7</v>
      </c>
      <c r="F84" s="842">
        <f>F85+F86+F87</f>
        <v>391000</v>
      </c>
      <c r="G84" s="842">
        <f t="shared" ref="G84" si="80">G85+G86+G87</f>
        <v>403000</v>
      </c>
      <c r="H84" s="2552">
        <f t="shared" ref="H84" si="81">H85+H86+H87</f>
        <v>325000</v>
      </c>
      <c r="I84" s="395">
        <f>+I86+I85+I87</f>
        <v>1174192.7</v>
      </c>
      <c r="J84" s="1174">
        <f t="shared" si="75"/>
        <v>64.695534321932641</v>
      </c>
      <c r="K84" s="842">
        <f>+K86+K85+K87</f>
        <v>97544</v>
      </c>
      <c r="L84" s="1174">
        <f>K84/G84*100</f>
        <v>24.204466501240695</v>
      </c>
      <c r="M84" s="842">
        <f t="shared" si="76"/>
        <v>-305456</v>
      </c>
      <c r="N84" s="3670"/>
      <c r="O84" s="218">
        <f t="shared" si="77"/>
        <v>10303</v>
      </c>
    </row>
    <row r="85" spans="1:15" ht="12.95" customHeight="1" x14ac:dyDescent="0.2">
      <c r="A85" s="3681"/>
      <c r="B85" s="243" t="s">
        <v>7</v>
      </c>
      <c r="C85" s="3671"/>
      <c r="D85" s="246">
        <f>+E85+F85+G85+H85</f>
        <v>1680569</v>
      </c>
      <c r="E85" s="779">
        <f>186654+374915</f>
        <v>561569</v>
      </c>
      <c r="F85" s="2553">
        <v>391000</v>
      </c>
      <c r="G85" s="779">
        <v>403000</v>
      </c>
      <c r="H85" s="1214">
        <v>325000</v>
      </c>
      <c r="I85" s="246">
        <f>F85+K85+E85-10303</f>
        <v>1039810</v>
      </c>
      <c r="J85" s="780">
        <f t="shared" si="75"/>
        <v>61.872496755563148</v>
      </c>
      <c r="K85" s="779">
        <v>97544</v>
      </c>
      <c r="L85" s="780">
        <f>K85/G85*100</f>
        <v>24.204466501240695</v>
      </c>
      <c r="M85" s="779">
        <f t="shared" si="76"/>
        <v>-305456</v>
      </c>
      <c r="N85" s="3670"/>
      <c r="O85" s="218">
        <f t="shared" si="77"/>
        <v>10303</v>
      </c>
    </row>
    <row r="86" spans="1:15" ht="12.95" customHeight="1" x14ac:dyDescent="0.2">
      <c r="A86" s="3681"/>
      <c r="B86" s="243" t="s">
        <v>8</v>
      </c>
      <c r="C86" s="3671"/>
      <c r="D86" s="246">
        <f>+E86+F86+G86+H86</f>
        <v>116708.7</v>
      </c>
      <c r="E86" s="779">
        <f>4966+111743-0.3</f>
        <v>116708.7</v>
      </c>
      <c r="F86" s="250">
        <v>0</v>
      </c>
      <c r="G86" s="250">
        <v>0</v>
      </c>
      <c r="H86" s="248">
        <v>0</v>
      </c>
      <c r="I86" s="246">
        <f>F86+K86+E86</f>
        <v>116708.7</v>
      </c>
      <c r="J86" s="780">
        <f t="shared" si="75"/>
        <v>100</v>
      </c>
      <c r="K86" s="250">
        <v>0</v>
      </c>
      <c r="L86" s="250">
        <v>0</v>
      </c>
      <c r="M86" s="250">
        <f t="shared" si="76"/>
        <v>0</v>
      </c>
      <c r="N86" s="3670"/>
      <c r="O86" s="218">
        <f t="shared" si="77"/>
        <v>0</v>
      </c>
    </row>
    <row r="87" spans="1:15" ht="12.95" customHeight="1" x14ac:dyDescent="0.2">
      <c r="A87" s="3681"/>
      <c r="B87" s="243" t="s">
        <v>165</v>
      </c>
      <c r="C87" s="3671"/>
      <c r="D87" s="246">
        <f>+E87+F87+G87+H87</f>
        <v>17674</v>
      </c>
      <c r="E87" s="779">
        <v>17674</v>
      </c>
      <c r="F87" s="250">
        <v>0</v>
      </c>
      <c r="G87" s="250">
        <v>0</v>
      </c>
      <c r="H87" s="248">
        <v>0</v>
      </c>
      <c r="I87" s="246">
        <f>F87+K87+E87</f>
        <v>17674</v>
      </c>
      <c r="J87" s="780">
        <f t="shared" si="75"/>
        <v>100</v>
      </c>
      <c r="K87" s="250"/>
      <c r="L87" s="250"/>
      <c r="M87" s="250">
        <f t="shared" si="76"/>
        <v>0</v>
      </c>
      <c r="N87" s="3670"/>
      <c r="O87" s="218">
        <f t="shared" si="77"/>
        <v>0</v>
      </c>
    </row>
    <row r="88" spans="1:15" ht="12.95" customHeight="1" x14ac:dyDescent="0.2">
      <c r="A88" s="3681"/>
      <c r="B88" s="2514" t="s">
        <v>12</v>
      </c>
      <c r="C88" s="3671"/>
      <c r="D88" s="395">
        <f>D89+D90+D91</f>
        <v>4998298.3</v>
      </c>
      <c r="E88" s="842">
        <f>E89+E90+E91</f>
        <v>1893298.3</v>
      </c>
      <c r="F88" s="842">
        <f t="shared" ref="F88:H88" si="82">F89+F90+F91</f>
        <v>1050000</v>
      </c>
      <c r="G88" s="842">
        <f t="shared" si="82"/>
        <v>1080000</v>
      </c>
      <c r="H88" s="2552">
        <f t="shared" si="82"/>
        <v>975000</v>
      </c>
      <c r="I88" s="395">
        <f>I89+I90+I91</f>
        <v>3189273.3</v>
      </c>
      <c r="J88" s="1174">
        <f t="shared" si="75"/>
        <v>63.80718213636829</v>
      </c>
      <c r="K88" s="842">
        <f>K89+K90+K91</f>
        <v>269211</v>
      </c>
      <c r="L88" s="1174">
        <f>K88/G88*100</f>
        <v>24.926944444444445</v>
      </c>
      <c r="M88" s="842">
        <f t="shared" si="76"/>
        <v>-810789</v>
      </c>
      <c r="N88" s="3670"/>
      <c r="O88" s="218">
        <f t="shared" si="77"/>
        <v>23236</v>
      </c>
    </row>
    <row r="89" spans="1:15" ht="12.95" customHeight="1" x14ac:dyDescent="0.2">
      <c r="A89" s="3681"/>
      <c r="B89" s="243" t="s">
        <v>14</v>
      </c>
      <c r="C89" s="3671"/>
      <c r="D89" s="246">
        <f>+E89+F89+G89+H89</f>
        <v>4631316</v>
      </c>
      <c r="E89" s="779">
        <f>559040+967276</f>
        <v>1526316</v>
      </c>
      <c r="F89" s="2553">
        <v>1050000</v>
      </c>
      <c r="G89" s="779">
        <v>1080000</v>
      </c>
      <c r="H89" s="1214">
        <v>975000</v>
      </c>
      <c r="I89" s="246">
        <f>F89+K89+E89-23236</f>
        <v>2822291</v>
      </c>
      <c r="J89" s="780">
        <f t="shared" si="75"/>
        <v>60.939288098674325</v>
      </c>
      <c r="K89" s="779">
        <v>269211</v>
      </c>
      <c r="L89" s="780">
        <f>K89/G89*100</f>
        <v>24.926944444444445</v>
      </c>
      <c r="M89" s="779">
        <f t="shared" si="76"/>
        <v>-810789</v>
      </c>
      <c r="N89" s="3670"/>
      <c r="O89" s="218">
        <f t="shared" si="77"/>
        <v>23236</v>
      </c>
    </row>
    <row r="90" spans="1:15" ht="12.95" customHeight="1" x14ac:dyDescent="0.2">
      <c r="A90" s="3681"/>
      <c r="B90" s="243" t="s">
        <v>8</v>
      </c>
      <c r="C90" s="3671"/>
      <c r="D90" s="246">
        <f>+E90+F90+G90+H90</f>
        <v>313960.3</v>
      </c>
      <c r="E90" s="779">
        <f>14897+299063+0.3</f>
        <v>313960.3</v>
      </c>
      <c r="F90" s="250">
        <v>0</v>
      </c>
      <c r="G90" s="250">
        <v>0</v>
      </c>
      <c r="H90" s="248">
        <v>0</v>
      </c>
      <c r="I90" s="246">
        <f>F90+K90+E90</f>
        <v>313960.3</v>
      </c>
      <c r="J90" s="780">
        <f t="shared" si="75"/>
        <v>100</v>
      </c>
      <c r="K90" s="250">
        <v>0</v>
      </c>
      <c r="L90" s="250">
        <v>0</v>
      </c>
      <c r="M90" s="250">
        <f t="shared" si="76"/>
        <v>0</v>
      </c>
      <c r="N90" s="3670"/>
      <c r="O90" s="218">
        <f t="shared" si="77"/>
        <v>0</v>
      </c>
    </row>
    <row r="91" spans="1:15" ht="12.95" customHeight="1" thickBot="1" x14ac:dyDescent="0.25">
      <c r="A91" s="3682"/>
      <c r="B91" s="280" t="s">
        <v>13</v>
      </c>
      <c r="C91" s="3683"/>
      <c r="D91" s="264">
        <f>+E91+F91+G91+H91</f>
        <v>53022</v>
      </c>
      <c r="E91" s="263">
        <v>53022</v>
      </c>
      <c r="F91" s="818">
        <v>0</v>
      </c>
      <c r="G91" s="818">
        <v>0</v>
      </c>
      <c r="H91" s="272">
        <v>0</v>
      </c>
      <c r="I91" s="264">
        <f>F91+K91+E91</f>
        <v>53022</v>
      </c>
      <c r="J91" s="801">
        <f t="shared" si="75"/>
        <v>100</v>
      </c>
      <c r="K91" s="818"/>
      <c r="L91" s="818"/>
      <c r="M91" s="818">
        <f t="shared" si="76"/>
        <v>0</v>
      </c>
      <c r="N91" s="3659"/>
      <c r="O91" s="218">
        <f t="shared" si="77"/>
        <v>0</v>
      </c>
    </row>
    <row r="92" spans="1:15" s="2241" customFormat="1" ht="39.75" customHeight="1" x14ac:dyDescent="0.2">
      <c r="A92" s="3624" t="s">
        <v>41</v>
      </c>
      <c r="B92" s="2511" t="s">
        <v>363</v>
      </c>
      <c r="C92" s="2479" t="s">
        <v>166</v>
      </c>
      <c r="D92" s="2480"/>
      <c r="E92" s="2481"/>
      <c r="F92" s="2481"/>
      <c r="G92" s="2481"/>
      <c r="H92" s="2513"/>
      <c r="I92" s="2483"/>
      <c r="J92" s="2484"/>
      <c r="K92" s="2485"/>
      <c r="L92" s="2484"/>
      <c r="M92" s="2481"/>
      <c r="N92" s="3611" t="s">
        <v>172</v>
      </c>
      <c r="O92" s="218">
        <f t="shared" si="77"/>
        <v>0</v>
      </c>
    </row>
    <row r="93" spans="1:15" s="2241" customFormat="1" ht="12" customHeight="1" x14ac:dyDescent="0.2">
      <c r="A93" s="3615"/>
      <c r="B93" s="846" t="s">
        <v>2</v>
      </c>
      <c r="C93" s="2487"/>
      <c r="D93" s="233">
        <f t="shared" ref="D93:H93" si="83">+D94+D98</f>
        <v>38955.300000000003</v>
      </c>
      <c r="E93" s="234">
        <f t="shared" si="83"/>
        <v>38955.300000000003</v>
      </c>
      <c r="F93" s="287">
        <f t="shared" si="83"/>
        <v>0</v>
      </c>
      <c r="G93" s="287">
        <f t="shared" si="83"/>
        <v>0</v>
      </c>
      <c r="H93" s="824">
        <f t="shared" si="83"/>
        <v>0</v>
      </c>
      <c r="I93" s="233">
        <f>I94+I98</f>
        <v>38955.300000000003</v>
      </c>
      <c r="J93" s="743">
        <f>I93/D93*100</f>
        <v>100</v>
      </c>
      <c r="K93" s="287">
        <f>+K94+K98</f>
        <v>0</v>
      </c>
      <c r="L93" s="287">
        <v>0</v>
      </c>
      <c r="M93" s="287">
        <f t="shared" si="76"/>
        <v>0</v>
      </c>
      <c r="N93" s="3612"/>
      <c r="O93" s="218">
        <f t="shared" si="77"/>
        <v>0</v>
      </c>
    </row>
    <row r="94" spans="1:15" s="2241" customFormat="1" ht="12" customHeight="1" thickBot="1" x14ac:dyDescent="0.25">
      <c r="A94" s="3616"/>
      <c r="B94" s="2514" t="s">
        <v>3</v>
      </c>
      <c r="C94" s="3208" t="s">
        <v>170</v>
      </c>
      <c r="D94" s="277">
        <f>+D95+D97+D96</f>
        <v>13592</v>
      </c>
      <c r="E94" s="278">
        <f>SUM(E95:E97)</f>
        <v>13592</v>
      </c>
      <c r="F94" s="284">
        <f>SUM(F95:F97)</f>
        <v>0</v>
      </c>
      <c r="G94" s="284">
        <f>SUM(G95:G97)</f>
        <v>0</v>
      </c>
      <c r="H94" s="934">
        <f>SUM(H96:H97)</f>
        <v>0</v>
      </c>
      <c r="I94" s="277">
        <f>I95+I97+I96</f>
        <v>13592</v>
      </c>
      <c r="J94" s="144">
        <f>I94/D94*100</f>
        <v>100</v>
      </c>
      <c r="K94" s="284">
        <f>K95+K97+K96</f>
        <v>0</v>
      </c>
      <c r="L94" s="944">
        <v>0</v>
      </c>
      <c r="M94" s="284">
        <f t="shared" si="76"/>
        <v>0</v>
      </c>
      <c r="N94" s="3645"/>
      <c r="O94" s="218">
        <f t="shared" si="77"/>
        <v>0</v>
      </c>
    </row>
    <row r="95" spans="1:15" s="2241" customFormat="1" ht="8.25" hidden="1" customHeight="1" x14ac:dyDescent="0.2">
      <c r="A95" s="3616"/>
      <c r="B95" s="243" t="s">
        <v>4</v>
      </c>
      <c r="C95" s="3208"/>
      <c r="D95" s="2556">
        <f>+E95+F95+G95+H95</f>
        <v>0</v>
      </c>
      <c r="E95" s="2556"/>
      <c r="F95" s="2517"/>
      <c r="G95" s="2517">
        <v>0</v>
      </c>
      <c r="H95" s="2517">
        <v>0</v>
      </c>
      <c r="I95" s="2557"/>
      <c r="J95" s="2516"/>
      <c r="K95" s="2517">
        <v>0</v>
      </c>
      <c r="L95" s="2558"/>
      <c r="M95" s="2491">
        <f t="shared" si="76"/>
        <v>0</v>
      </c>
      <c r="N95" s="3620"/>
      <c r="O95" s="218">
        <f t="shared" si="77"/>
        <v>0</v>
      </c>
    </row>
    <row r="96" spans="1:15" s="2241" customFormat="1" ht="12" customHeight="1" x14ac:dyDescent="0.2">
      <c r="A96" s="3617"/>
      <c r="B96" s="243" t="s">
        <v>7</v>
      </c>
      <c r="C96" s="3208"/>
      <c r="D96" s="246">
        <f>+E96+F96+G96+H96</f>
        <v>10724</v>
      </c>
      <c r="E96" s="779">
        <v>10724</v>
      </c>
      <c r="F96" s="250">
        <v>0</v>
      </c>
      <c r="G96" s="250">
        <v>0</v>
      </c>
      <c r="H96" s="782">
        <v>0</v>
      </c>
      <c r="I96" s="246">
        <f>F96+K96+E96</f>
        <v>10724</v>
      </c>
      <c r="J96" s="780">
        <f t="shared" ref="J96:J107" si="84">I96/D96*100</f>
        <v>100</v>
      </c>
      <c r="K96" s="250">
        <v>0</v>
      </c>
      <c r="L96" s="250">
        <v>0</v>
      </c>
      <c r="M96" s="250">
        <f t="shared" si="76"/>
        <v>0</v>
      </c>
      <c r="N96" s="3611"/>
      <c r="O96" s="218">
        <f t="shared" si="77"/>
        <v>0</v>
      </c>
    </row>
    <row r="97" spans="1:16" s="2241" customFormat="1" ht="12" customHeight="1" x14ac:dyDescent="0.2">
      <c r="A97" s="3615"/>
      <c r="B97" s="243" t="s">
        <v>8</v>
      </c>
      <c r="C97" s="3208"/>
      <c r="D97" s="246">
        <f>+E97+F97+G97+H97</f>
        <v>2868</v>
      </c>
      <c r="E97" s="779">
        <v>2868</v>
      </c>
      <c r="F97" s="250">
        <v>0</v>
      </c>
      <c r="G97" s="250">
        <v>0</v>
      </c>
      <c r="H97" s="782">
        <v>0</v>
      </c>
      <c r="I97" s="246">
        <f>F97+K97+E97</f>
        <v>2868</v>
      </c>
      <c r="J97" s="780">
        <f t="shared" si="84"/>
        <v>100</v>
      </c>
      <c r="K97" s="250">
        <v>0</v>
      </c>
      <c r="L97" s="250">
        <v>0</v>
      </c>
      <c r="M97" s="250">
        <f t="shared" si="76"/>
        <v>0</v>
      </c>
      <c r="N97" s="3612"/>
      <c r="O97" s="218">
        <f t="shared" si="77"/>
        <v>0</v>
      </c>
    </row>
    <row r="98" spans="1:16" s="2241" customFormat="1" ht="12" customHeight="1" x14ac:dyDescent="0.2">
      <c r="A98" s="3615"/>
      <c r="B98" s="2514" t="s">
        <v>12</v>
      </c>
      <c r="C98" s="3208"/>
      <c r="D98" s="277">
        <f>+D100+D99</f>
        <v>25363.3</v>
      </c>
      <c r="E98" s="278">
        <f>E100+E99</f>
        <v>25363.3</v>
      </c>
      <c r="F98" s="284">
        <f>F100+F99</f>
        <v>0</v>
      </c>
      <c r="G98" s="284">
        <f>G100+G99</f>
        <v>0</v>
      </c>
      <c r="H98" s="934">
        <f>H100+H99</f>
        <v>0</v>
      </c>
      <c r="I98" s="277">
        <f>I100+I99</f>
        <v>25363.3</v>
      </c>
      <c r="J98" s="144">
        <f t="shared" si="84"/>
        <v>100</v>
      </c>
      <c r="K98" s="284">
        <f>K100+K99</f>
        <v>0</v>
      </c>
      <c r="L98" s="944">
        <v>0</v>
      </c>
      <c r="M98" s="284">
        <f t="shared" si="76"/>
        <v>0</v>
      </c>
      <c r="N98" s="3612"/>
      <c r="O98" s="218">
        <f t="shared" si="77"/>
        <v>0</v>
      </c>
    </row>
    <row r="99" spans="1:16" s="2241" customFormat="1" ht="12" customHeight="1" x14ac:dyDescent="0.2">
      <c r="A99" s="3615"/>
      <c r="B99" s="243" t="s">
        <v>14</v>
      </c>
      <c r="C99" s="3208"/>
      <c r="D99" s="246">
        <f>+E99+F99+G99+H99</f>
        <v>16756</v>
      </c>
      <c r="E99" s="779">
        <v>16756</v>
      </c>
      <c r="F99" s="250">
        <v>0</v>
      </c>
      <c r="G99" s="250">
        <v>0</v>
      </c>
      <c r="H99" s="782">
        <v>0</v>
      </c>
      <c r="I99" s="246">
        <f>F99+K99+E99</f>
        <v>16756</v>
      </c>
      <c r="J99" s="780">
        <f t="shared" si="84"/>
        <v>100</v>
      </c>
      <c r="K99" s="250">
        <v>0</v>
      </c>
      <c r="L99" s="250">
        <v>0</v>
      </c>
      <c r="M99" s="250">
        <f t="shared" si="76"/>
        <v>0</v>
      </c>
      <c r="N99" s="3612"/>
      <c r="O99" s="218">
        <f t="shared" si="77"/>
        <v>0</v>
      </c>
    </row>
    <row r="100" spans="1:16" s="2241" customFormat="1" ht="12" customHeight="1" x14ac:dyDescent="0.2">
      <c r="A100" s="3615"/>
      <c r="B100" s="243" t="s">
        <v>8</v>
      </c>
      <c r="C100" s="3208"/>
      <c r="D100" s="246">
        <f>+E100+F100+G100+H100</f>
        <v>8607.2999999999993</v>
      </c>
      <c r="E100" s="779">
        <f>8607+0.3</f>
        <v>8607.2999999999993</v>
      </c>
      <c r="F100" s="250">
        <v>0</v>
      </c>
      <c r="G100" s="250">
        <v>0</v>
      </c>
      <c r="H100" s="782">
        <v>0</v>
      </c>
      <c r="I100" s="246">
        <f>F100+K100+E100</f>
        <v>8607.2999999999993</v>
      </c>
      <c r="J100" s="780">
        <f t="shared" si="84"/>
        <v>100</v>
      </c>
      <c r="K100" s="250">
        <v>0</v>
      </c>
      <c r="L100" s="250">
        <v>0</v>
      </c>
      <c r="M100" s="250">
        <f t="shared" si="76"/>
        <v>0</v>
      </c>
      <c r="N100" s="3612"/>
      <c r="O100" s="218">
        <f t="shared" si="77"/>
        <v>0</v>
      </c>
    </row>
    <row r="101" spans="1:16" s="2241" customFormat="1" ht="12" customHeight="1" x14ac:dyDescent="0.2">
      <c r="A101" s="3615"/>
      <c r="B101" s="846" t="s">
        <v>16</v>
      </c>
      <c r="C101" s="2487"/>
      <c r="D101" s="233">
        <f t="shared" ref="D101:H101" si="85">+D102+D105</f>
        <v>38955.300000000003</v>
      </c>
      <c r="E101" s="234">
        <f t="shared" si="85"/>
        <v>38955.300000000003</v>
      </c>
      <c r="F101" s="287">
        <f t="shared" si="85"/>
        <v>0</v>
      </c>
      <c r="G101" s="287">
        <f t="shared" si="85"/>
        <v>0</v>
      </c>
      <c r="H101" s="824">
        <f t="shared" si="85"/>
        <v>0</v>
      </c>
      <c r="I101" s="233">
        <f>I102+I105</f>
        <v>38955.300000000003</v>
      </c>
      <c r="J101" s="743">
        <f t="shared" si="84"/>
        <v>100</v>
      </c>
      <c r="K101" s="287">
        <f>+K102+K105</f>
        <v>0</v>
      </c>
      <c r="L101" s="287">
        <v>0</v>
      </c>
      <c r="M101" s="287">
        <f t="shared" si="76"/>
        <v>0</v>
      </c>
      <c r="N101" s="3612"/>
      <c r="O101" s="218">
        <f t="shared" si="77"/>
        <v>0</v>
      </c>
    </row>
    <row r="102" spans="1:16" s="2241" customFormat="1" ht="12" customHeight="1" x14ac:dyDescent="0.2">
      <c r="A102" s="3615"/>
      <c r="B102" s="2514" t="s">
        <v>3</v>
      </c>
      <c r="C102" s="3208" t="s">
        <v>170</v>
      </c>
      <c r="D102" s="277">
        <f>+D104+D103</f>
        <v>13592</v>
      </c>
      <c r="E102" s="278">
        <f>E103+E104</f>
        <v>13592</v>
      </c>
      <c r="F102" s="284">
        <f>F103+F104</f>
        <v>0</v>
      </c>
      <c r="G102" s="284">
        <f>G103+G104</f>
        <v>0</v>
      </c>
      <c r="H102" s="934">
        <f>H103</f>
        <v>0</v>
      </c>
      <c r="I102" s="277">
        <f>I104+I103</f>
        <v>13592</v>
      </c>
      <c r="J102" s="144">
        <f t="shared" si="84"/>
        <v>100</v>
      </c>
      <c r="K102" s="284">
        <f>K104+K103</f>
        <v>0</v>
      </c>
      <c r="L102" s="944">
        <v>0</v>
      </c>
      <c r="M102" s="284">
        <f t="shared" si="76"/>
        <v>0</v>
      </c>
      <c r="N102" s="3612"/>
      <c r="O102" s="218">
        <f t="shared" si="77"/>
        <v>0</v>
      </c>
    </row>
    <row r="103" spans="1:16" s="2241" customFormat="1" ht="12" customHeight="1" x14ac:dyDescent="0.2">
      <c r="A103" s="3615"/>
      <c r="B103" s="243" t="s">
        <v>7</v>
      </c>
      <c r="C103" s="3208"/>
      <c r="D103" s="246">
        <f>+E103+F103+G103+H103</f>
        <v>10724</v>
      </c>
      <c r="E103" s="779">
        <v>10724</v>
      </c>
      <c r="F103" s="250">
        <v>0</v>
      </c>
      <c r="G103" s="250">
        <v>0</v>
      </c>
      <c r="H103" s="782">
        <v>0</v>
      </c>
      <c r="I103" s="246">
        <f>F103+K103+E103</f>
        <v>10724</v>
      </c>
      <c r="J103" s="780">
        <f t="shared" si="84"/>
        <v>100</v>
      </c>
      <c r="K103" s="250">
        <v>0</v>
      </c>
      <c r="L103" s="250">
        <v>0</v>
      </c>
      <c r="M103" s="250">
        <f t="shared" si="76"/>
        <v>0</v>
      </c>
      <c r="N103" s="3612"/>
      <c r="O103" s="218">
        <f t="shared" si="77"/>
        <v>0</v>
      </c>
    </row>
    <row r="104" spans="1:16" s="2241" customFormat="1" ht="12" customHeight="1" x14ac:dyDescent="0.2">
      <c r="A104" s="3615"/>
      <c r="B104" s="243" t="s">
        <v>8</v>
      </c>
      <c r="C104" s="3101"/>
      <c r="D104" s="246">
        <f>+E104+F104+G104+H104</f>
        <v>2868</v>
      </c>
      <c r="E104" s="779">
        <v>2868</v>
      </c>
      <c r="F104" s="250">
        <v>0</v>
      </c>
      <c r="G104" s="250">
        <v>0</v>
      </c>
      <c r="H104" s="782">
        <v>0</v>
      </c>
      <c r="I104" s="246">
        <f>F104+K104+E104</f>
        <v>2868</v>
      </c>
      <c r="J104" s="780">
        <f t="shared" si="84"/>
        <v>100</v>
      </c>
      <c r="K104" s="250">
        <v>0</v>
      </c>
      <c r="L104" s="250">
        <v>0</v>
      </c>
      <c r="M104" s="250">
        <f t="shared" si="76"/>
        <v>0</v>
      </c>
      <c r="N104" s="3612"/>
      <c r="O104" s="218">
        <f t="shared" si="77"/>
        <v>0</v>
      </c>
    </row>
    <row r="105" spans="1:16" s="2241" customFormat="1" ht="12" customHeight="1" x14ac:dyDescent="0.2">
      <c r="A105" s="3615"/>
      <c r="B105" s="2514" t="s">
        <v>12</v>
      </c>
      <c r="C105" s="3101"/>
      <c r="D105" s="277">
        <f t="shared" ref="D105:H105" si="86">D106+D107</f>
        <v>25363.3</v>
      </c>
      <c r="E105" s="278">
        <f t="shared" si="86"/>
        <v>25363.3</v>
      </c>
      <c r="F105" s="284">
        <f t="shared" si="86"/>
        <v>0</v>
      </c>
      <c r="G105" s="284">
        <f t="shared" si="86"/>
        <v>0</v>
      </c>
      <c r="H105" s="934">
        <f t="shared" si="86"/>
        <v>0</v>
      </c>
      <c r="I105" s="277">
        <f>I107+I106</f>
        <v>25363.3</v>
      </c>
      <c r="J105" s="144">
        <f t="shared" si="84"/>
        <v>100</v>
      </c>
      <c r="K105" s="284">
        <f>+K107+K106</f>
        <v>0</v>
      </c>
      <c r="L105" s="944">
        <v>0</v>
      </c>
      <c r="M105" s="284">
        <f t="shared" si="76"/>
        <v>0</v>
      </c>
      <c r="N105" s="3612"/>
      <c r="O105" s="218">
        <f t="shared" si="77"/>
        <v>0</v>
      </c>
    </row>
    <row r="106" spans="1:16" s="2241" customFormat="1" ht="12" customHeight="1" x14ac:dyDescent="0.2">
      <c r="A106" s="3615"/>
      <c r="B106" s="243" t="s">
        <v>14</v>
      </c>
      <c r="C106" s="3101"/>
      <c r="D106" s="246">
        <f>+E106+F106+G106+H106</f>
        <v>16756</v>
      </c>
      <c r="E106" s="779">
        <v>16756</v>
      </c>
      <c r="F106" s="250">
        <v>0</v>
      </c>
      <c r="G106" s="250">
        <v>0</v>
      </c>
      <c r="H106" s="782">
        <v>0</v>
      </c>
      <c r="I106" s="246">
        <f>F106+K106+E106</f>
        <v>16756</v>
      </c>
      <c r="J106" s="780">
        <f t="shared" si="84"/>
        <v>100</v>
      </c>
      <c r="K106" s="250">
        <v>0</v>
      </c>
      <c r="L106" s="250">
        <v>0</v>
      </c>
      <c r="M106" s="250">
        <f t="shared" si="76"/>
        <v>0</v>
      </c>
      <c r="N106" s="3612"/>
      <c r="O106" s="218">
        <f t="shared" si="77"/>
        <v>0</v>
      </c>
    </row>
    <row r="107" spans="1:16" s="2241" customFormat="1" ht="12" customHeight="1" thickBot="1" x14ac:dyDescent="0.25">
      <c r="A107" s="3625"/>
      <c r="B107" s="280" t="s">
        <v>8</v>
      </c>
      <c r="C107" s="3104"/>
      <c r="D107" s="264">
        <f>+E107+F107+G107+H107</f>
        <v>8607.2999999999993</v>
      </c>
      <c r="E107" s="263">
        <f>8607+0.3</f>
        <v>8607.2999999999993</v>
      </c>
      <c r="F107" s="818">
        <v>0</v>
      </c>
      <c r="G107" s="818">
        <v>0</v>
      </c>
      <c r="H107" s="876">
        <v>0</v>
      </c>
      <c r="I107" s="264">
        <f>F107+K107+E107</f>
        <v>8607.2999999999993</v>
      </c>
      <c r="J107" s="801">
        <f t="shared" si="84"/>
        <v>100</v>
      </c>
      <c r="K107" s="818">
        <v>0</v>
      </c>
      <c r="L107" s="818">
        <v>0</v>
      </c>
      <c r="M107" s="818">
        <f t="shared" si="76"/>
        <v>0</v>
      </c>
      <c r="N107" s="3645"/>
      <c r="O107" s="218">
        <f t="shared" si="77"/>
        <v>0</v>
      </c>
    </row>
    <row r="108" spans="1:16" s="2486" customFormat="1" ht="39" customHeight="1" x14ac:dyDescent="0.2">
      <c r="A108" s="3634" t="s">
        <v>43</v>
      </c>
      <c r="B108" s="2511" t="s">
        <v>173</v>
      </c>
      <c r="C108" s="2479" t="s">
        <v>166</v>
      </c>
      <c r="D108" s="2480"/>
      <c r="E108" s="2481"/>
      <c r="F108" s="2481"/>
      <c r="G108" s="2481"/>
      <c r="H108" s="2513"/>
      <c r="I108" s="2483"/>
      <c r="J108" s="2484"/>
      <c r="K108" s="2485"/>
      <c r="L108" s="2484"/>
      <c r="M108" s="2481"/>
      <c r="N108" s="3611" t="s">
        <v>169</v>
      </c>
      <c r="O108" s="218">
        <f t="shared" si="77"/>
        <v>0</v>
      </c>
    </row>
    <row r="109" spans="1:16" s="2488" customFormat="1" ht="13.5" customHeight="1" x14ac:dyDescent="0.2">
      <c r="A109" s="3635"/>
      <c r="B109" s="846" t="s">
        <v>2</v>
      </c>
      <c r="C109" s="2487"/>
      <c r="D109" s="233">
        <f t="shared" ref="D109:F109" si="87">+D110+D112</f>
        <v>15220421</v>
      </c>
      <c r="E109" s="234">
        <f t="shared" si="87"/>
        <v>6285471</v>
      </c>
      <c r="F109" s="234">
        <f t="shared" si="87"/>
        <v>3005702</v>
      </c>
      <c r="G109" s="234">
        <f t="shared" ref="G109:H109" si="88">+G110+G112</f>
        <v>3059715</v>
      </c>
      <c r="H109" s="241">
        <f t="shared" si="88"/>
        <v>2869533</v>
      </c>
      <c r="I109" s="233">
        <f>I110+I112</f>
        <v>9279580.5099999998</v>
      </c>
      <c r="J109" s="743">
        <f t="shared" ref="J109:J118" si="89">I109/D109*100</f>
        <v>60.967962121415695</v>
      </c>
      <c r="K109" s="234">
        <f>+K110+K112</f>
        <v>10959.51</v>
      </c>
      <c r="L109" s="743">
        <f>K109/G109*100</f>
        <v>0.35818728214882761</v>
      </c>
      <c r="M109" s="234">
        <f t="shared" si="76"/>
        <v>-3048755.49</v>
      </c>
      <c r="N109" s="3612"/>
      <c r="O109" s="218">
        <f t="shared" si="77"/>
        <v>22552</v>
      </c>
    </row>
    <row r="110" spans="1:16" s="2488" customFormat="1" ht="13.5" customHeight="1" x14ac:dyDescent="0.2">
      <c r="A110" s="3635"/>
      <c r="B110" s="2514" t="s">
        <v>3</v>
      </c>
      <c r="C110" s="3208" t="s">
        <v>168</v>
      </c>
      <c r="D110" s="395">
        <f>+D111</f>
        <v>7209673</v>
      </c>
      <c r="E110" s="1087">
        <f>E111</f>
        <v>3801777</v>
      </c>
      <c r="F110" s="842">
        <f>SUM(F111:F111)</f>
        <v>2588069</v>
      </c>
      <c r="G110" s="842">
        <f>SUM(G111:G111)</f>
        <v>384742</v>
      </c>
      <c r="H110" s="397">
        <f>SUM(H111:H111)</f>
        <v>435085</v>
      </c>
      <c r="I110" s="395">
        <f>I111</f>
        <v>6389845</v>
      </c>
      <c r="J110" s="1174">
        <f t="shared" si="89"/>
        <v>88.628776922337522</v>
      </c>
      <c r="K110" s="842">
        <f>K111</f>
        <v>0</v>
      </c>
      <c r="L110" s="1174">
        <f t="shared" ref="L110:L116" si="90">K110/G110*100</f>
        <v>0</v>
      </c>
      <c r="M110" s="842">
        <f t="shared" si="76"/>
        <v>-384742</v>
      </c>
      <c r="N110" s="3612"/>
      <c r="O110" s="218">
        <f t="shared" si="77"/>
        <v>1</v>
      </c>
    </row>
    <row r="111" spans="1:16" s="2486" customFormat="1" ht="12.75" customHeight="1" x14ac:dyDescent="0.2">
      <c r="A111" s="3635"/>
      <c r="B111" s="243" t="s">
        <v>10</v>
      </c>
      <c r="C111" s="3640"/>
      <c r="D111" s="246">
        <f>+E111+F111+G111+H111</f>
        <v>7209673</v>
      </c>
      <c r="E111" s="2553">
        <v>3801777</v>
      </c>
      <c r="F111" s="779">
        <v>2588069</v>
      </c>
      <c r="G111" s="779">
        <v>384742</v>
      </c>
      <c r="H111" s="247">
        <f>370675+64410</f>
        <v>435085</v>
      </c>
      <c r="I111" s="246">
        <f>F111+K111+E111-1</f>
        <v>6389845</v>
      </c>
      <c r="J111" s="780">
        <f t="shared" si="89"/>
        <v>88.628776922337522</v>
      </c>
      <c r="K111" s="779">
        <v>0</v>
      </c>
      <c r="L111" s="780">
        <f t="shared" si="90"/>
        <v>0</v>
      </c>
      <c r="M111" s="779">
        <f t="shared" si="76"/>
        <v>-384742</v>
      </c>
      <c r="N111" s="3612"/>
      <c r="O111" s="218">
        <f t="shared" si="77"/>
        <v>1</v>
      </c>
      <c r="P111" s="2559"/>
    </row>
    <row r="112" spans="1:16" s="2486" customFormat="1" ht="13.5" customHeight="1" x14ac:dyDescent="0.2">
      <c r="A112" s="3635"/>
      <c r="B112" s="2514" t="s">
        <v>12</v>
      </c>
      <c r="C112" s="3640"/>
      <c r="D112" s="395">
        <f t="shared" ref="D112:E112" si="91">+D113</f>
        <v>8010748</v>
      </c>
      <c r="E112" s="842">
        <f t="shared" si="91"/>
        <v>2483694</v>
      </c>
      <c r="F112" s="842">
        <f t="shared" ref="F112:I112" si="92">+F113</f>
        <v>417633</v>
      </c>
      <c r="G112" s="842">
        <f t="shared" si="92"/>
        <v>2674973</v>
      </c>
      <c r="H112" s="397">
        <f t="shared" si="92"/>
        <v>2434448</v>
      </c>
      <c r="I112" s="395">
        <f t="shared" si="92"/>
        <v>2889735.51</v>
      </c>
      <c r="J112" s="1174">
        <f t="shared" si="89"/>
        <v>36.073229491178601</v>
      </c>
      <c r="K112" s="842">
        <f>+K113</f>
        <v>10959.51</v>
      </c>
      <c r="L112" s="1174">
        <f t="shared" si="90"/>
        <v>0.40970544375588086</v>
      </c>
      <c r="M112" s="842">
        <f t="shared" si="76"/>
        <v>-2664013.4900000002</v>
      </c>
      <c r="N112" s="3612"/>
      <c r="O112" s="218">
        <f t="shared" si="77"/>
        <v>22551</v>
      </c>
    </row>
    <row r="113" spans="1:16" s="2486" customFormat="1" ht="12" customHeight="1" x14ac:dyDescent="0.2">
      <c r="A113" s="3635"/>
      <c r="B113" s="243" t="s">
        <v>13</v>
      </c>
      <c r="C113" s="3640"/>
      <c r="D113" s="246">
        <f>+E113+F113+G113+H113</f>
        <v>8010748</v>
      </c>
      <c r="E113" s="779">
        <f>629249+1854445</f>
        <v>2483694</v>
      </c>
      <c r="F113" s="779">
        <v>417633</v>
      </c>
      <c r="G113" s="779">
        <v>2674973</v>
      </c>
      <c r="H113" s="247">
        <f>2013520+420928</f>
        <v>2434448</v>
      </c>
      <c r="I113" s="246">
        <f>F113+K113+E113-22551</f>
        <v>2889735.51</v>
      </c>
      <c r="J113" s="780">
        <f t="shared" si="89"/>
        <v>36.073229491178601</v>
      </c>
      <c r="K113" s="779">
        <v>10959.51</v>
      </c>
      <c r="L113" s="780">
        <f t="shared" si="90"/>
        <v>0.40970544375588086</v>
      </c>
      <c r="M113" s="779">
        <f t="shared" si="76"/>
        <v>-2664013.4900000002</v>
      </c>
      <c r="N113" s="3612"/>
      <c r="O113" s="218">
        <f t="shared" si="77"/>
        <v>22551</v>
      </c>
    </row>
    <row r="114" spans="1:16" s="2486" customFormat="1" ht="13.5" customHeight="1" x14ac:dyDescent="0.2">
      <c r="A114" s="3635"/>
      <c r="B114" s="846" t="s">
        <v>16</v>
      </c>
      <c r="C114" s="2487"/>
      <c r="D114" s="233">
        <f t="shared" ref="D114:F114" si="93">+D115+D117</f>
        <v>15220421</v>
      </c>
      <c r="E114" s="234">
        <f t="shared" si="93"/>
        <v>7345788</v>
      </c>
      <c r="F114" s="234">
        <f t="shared" si="93"/>
        <v>5996863</v>
      </c>
      <c r="G114" s="234">
        <f t="shared" ref="G114:H114" si="94">+G115+G117</f>
        <v>384742</v>
      </c>
      <c r="H114" s="241">
        <f t="shared" si="94"/>
        <v>1493028</v>
      </c>
      <c r="I114" s="233">
        <f>I115+I117</f>
        <v>13342651</v>
      </c>
      <c r="J114" s="743">
        <f t="shared" si="89"/>
        <v>87.662824832506274</v>
      </c>
      <c r="K114" s="234">
        <f>K115+K117</f>
        <v>0</v>
      </c>
      <c r="L114" s="743">
        <f t="shared" si="90"/>
        <v>0</v>
      </c>
      <c r="M114" s="234">
        <f t="shared" si="76"/>
        <v>-384742</v>
      </c>
      <c r="N114" s="3612"/>
      <c r="O114" s="218">
        <f t="shared" si="77"/>
        <v>0</v>
      </c>
      <c r="P114" s="2497"/>
    </row>
    <row r="115" spans="1:16" s="2488" customFormat="1" ht="13.5" customHeight="1" x14ac:dyDescent="0.2">
      <c r="A115" s="3635"/>
      <c r="B115" s="2514" t="s">
        <v>3</v>
      </c>
      <c r="C115" s="3208" t="s">
        <v>168</v>
      </c>
      <c r="D115" s="395">
        <f>+D116</f>
        <v>7209673</v>
      </c>
      <c r="E115" s="1087">
        <f>SUM(E116:E116)</f>
        <v>3801777</v>
      </c>
      <c r="F115" s="842">
        <f>SUM(F116:F116)</f>
        <v>2588069</v>
      </c>
      <c r="G115" s="842">
        <f>SUM(G116:G116)</f>
        <v>384742</v>
      </c>
      <c r="H115" s="397">
        <f>SUM(H116:H116)</f>
        <v>435085</v>
      </c>
      <c r="I115" s="277">
        <f>I116</f>
        <v>6389846</v>
      </c>
      <c r="J115" s="144">
        <f t="shared" si="89"/>
        <v>88.628790792592113</v>
      </c>
      <c r="K115" s="278">
        <f>SUM(K116:K116)</f>
        <v>0</v>
      </c>
      <c r="L115" s="144">
        <f t="shared" si="90"/>
        <v>0</v>
      </c>
      <c r="M115" s="842">
        <f t="shared" si="76"/>
        <v>-384742</v>
      </c>
      <c r="N115" s="3612"/>
      <c r="O115" s="218">
        <f t="shared" si="77"/>
        <v>0</v>
      </c>
    </row>
    <row r="116" spans="1:16" s="2486" customFormat="1" ht="12.75" customHeight="1" x14ac:dyDescent="0.2">
      <c r="A116" s="3635"/>
      <c r="B116" s="243" t="s">
        <v>29</v>
      </c>
      <c r="C116" s="3640"/>
      <c r="D116" s="246">
        <f>+E116+F116+G116+H116</f>
        <v>7209673</v>
      </c>
      <c r="E116" s="2553">
        <v>3801777</v>
      </c>
      <c r="F116" s="779">
        <f>3556234-855353-112812</f>
        <v>2588069</v>
      </c>
      <c r="G116" s="779">
        <v>384742</v>
      </c>
      <c r="H116" s="247">
        <f>370675+64410</f>
        <v>435085</v>
      </c>
      <c r="I116" s="246">
        <f>F116+K116+E116</f>
        <v>6389846</v>
      </c>
      <c r="J116" s="780">
        <f t="shared" si="89"/>
        <v>88.628790792592113</v>
      </c>
      <c r="K116" s="779">
        <v>0</v>
      </c>
      <c r="L116" s="780">
        <f t="shared" si="90"/>
        <v>0</v>
      </c>
      <c r="M116" s="779">
        <f t="shared" si="76"/>
        <v>-384742</v>
      </c>
      <c r="N116" s="3612"/>
      <c r="O116" s="218">
        <f t="shared" si="77"/>
        <v>0</v>
      </c>
      <c r="P116" s="2559"/>
    </row>
    <row r="117" spans="1:16" s="2486" customFormat="1" ht="13.5" customHeight="1" x14ac:dyDescent="0.2">
      <c r="A117" s="3635"/>
      <c r="B117" s="2514" t="s">
        <v>12</v>
      </c>
      <c r="C117" s="3640"/>
      <c r="D117" s="395">
        <f t="shared" ref="D117:H117" si="95">+D118</f>
        <v>8010748</v>
      </c>
      <c r="E117" s="842">
        <f t="shared" si="95"/>
        <v>3544011</v>
      </c>
      <c r="F117" s="842">
        <f t="shared" si="95"/>
        <v>3408794</v>
      </c>
      <c r="G117" s="289">
        <f t="shared" si="95"/>
        <v>0</v>
      </c>
      <c r="H117" s="397">
        <f t="shared" si="95"/>
        <v>1057943</v>
      </c>
      <c r="I117" s="277">
        <f>I118</f>
        <v>6952805</v>
      </c>
      <c r="J117" s="144">
        <f t="shared" si="89"/>
        <v>86.793455492545775</v>
      </c>
      <c r="K117" s="842">
        <f>K118</f>
        <v>0</v>
      </c>
      <c r="L117" s="144">
        <v>0</v>
      </c>
      <c r="M117" s="842">
        <f t="shared" si="76"/>
        <v>0</v>
      </c>
      <c r="N117" s="3612"/>
      <c r="O117" s="218">
        <f t="shared" si="77"/>
        <v>0</v>
      </c>
    </row>
    <row r="118" spans="1:16" s="2486" customFormat="1" ht="13.5" customHeight="1" thickBot="1" x14ac:dyDescent="0.25">
      <c r="A118" s="3636"/>
      <c r="B118" s="280" t="s">
        <v>13</v>
      </c>
      <c r="C118" s="3630"/>
      <c r="D118" s="264">
        <f>+E118+F118+G118+H118</f>
        <v>8010748</v>
      </c>
      <c r="E118" s="263">
        <v>3544011</v>
      </c>
      <c r="F118" s="263">
        <v>3408794</v>
      </c>
      <c r="G118" s="818">
        <v>0</v>
      </c>
      <c r="H118" s="265">
        <v>1057943</v>
      </c>
      <c r="I118" s="264">
        <f>F118+K118+E118</f>
        <v>6952805</v>
      </c>
      <c r="J118" s="801">
        <f t="shared" si="89"/>
        <v>86.793455492545775</v>
      </c>
      <c r="K118" s="263">
        <v>0</v>
      </c>
      <c r="L118" s="780">
        <v>0</v>
      </c>
      <c r="M118" s="263">
        <f t="shared" si="76"/>
        <v>0</v>
      </c>
      <c r="N118" s="3645"/>
      <c r="O118" s="218">
        <f t="shared" si="77"/>
        <v>0</v>
      </c>
    </row>
    <row r="119" spans="1:16" s="2486" customFormat="1" ht="38.25" customHeight="1" thickBot="1" x14ac:dyDescent="0.25">
      <c r="A119" s="3664" t="s">
        <v>44</v>
      </c>
      <c r="B119" s="2511" t="s">
        <v>294</v>
      </c>
      <c r="C119" s="2479" t="s">
        <v>166</v>
      </c>
      <c r="D119" s="2480"/>
      <c r="E119" s="2481"/>
      <c r="F119" s="2481"/>
      <c r="G119" s="2481"/>
      <c r="H119" s="2513"/>
      <c r="I119" s="2483"/>
      <c r="J119" s="2484"/>
      <c r="K119" s="2485"/>
      <c r="L119" s="2484"/>
      <c r="M119" s="2481"/>
      <c r="N119" s="3668" t="s">
        <v>169</v>
      </c>
      <c r="O119" s="218">
        <f t="shared" si="77"/>
        <v>0</v>
      </c>
    </row>
    <row r="120" spans="1:16" s="2488" customFormat="1" ht="13.5" customHeight="1" x14ac:dyDescent="0.2">
      <c r="A120" s="3665"/>
      <c r="B120" s="846" t="s">
        <v>2</v>
      </c>
      <c r="C120" s="2487"/>
      <c r="D120" s="233">
        <f t="shared" ref="D120" si="96">+D121+D123</f>
        <v>19723223</v>
      </c>
      <c r="E120" s="2467">
        <f>+E121+E123</f>
        <v>333872</v>
      </c>
      <c r="F120" s="234">
        <f t="shared" ref="F120" si="97">+F121+F123</f>
        <v>1333272</v>
      </c>
      <c r="G120" s="234">
        <f t="shared" ref="G120:H120" si="98">+G121+G123</f>
        <v>10383327</v>
      </c>
      <c r="H120" s="241">
        <f t="shared" si="98"/>
        <v>7672752</v>
      </c>
      <c r="I120" s="233">
        <f>I121+I123</f>
        <v>1664733.58</v>
      </c>
      <c r="J120" s="743">
        <f t="shared" ref="J120:J129" si="99">I120/D120*100</f>
        <v>8.4404743585771964</v>
      </c>
      <c r="K120" s="234">
        <f>+K121+K123</f>
        <v>2572.58</v>
      </c>
      <c r="L120" s="743">
        <f t="shared" ref="L120:L128" si="100">K120/G120*100</f>
        <v>2.477606647657345E-2</v>
      </c>
      <c r="M120" s="234">
        <f t="shared" si="76"/>
        <v>-10380754.42</v>
      </c>
      <c r="N120" s="3669"/>
      <c r="O120" s="218">
        <f t="shared" si="77"/>
        <v>4983</v>
      </c>
    </row>
    <row r="121" spans="1:16" s="2488" customFormat="1" ht="13.5" customHeight="1" x14ac:dyDescent="0.2">
      <c r="A121" s="3666"/>
      <c r="B121" s="2514" t="s">
        <v>3</v>
      </c>
      <c r="C121" s="3208" t="s">
        <v>168</v>
      </c>
      <c r="D121" s="395">
        <f>+D122</f>
        <v>9342571</v>
      </c>
      <c r="E121" s="398">
        <f>E122</f>
        <v>0</v>
      </c>
      <c r="F121" s="842">
        <f>SUM(F122:F122)</f>
        <v>673272</v>
      </c>
      <c r="G121" s="842">
        <f>SUM(G122:G122)</f>
        <v>6637972</v>
      </c>
      <c r="H121" s="397">
        <f>SUM(H122:H122)</f>
        <v>2031327</v>
      </c>
      <c r="I121" s="395">
        <f>I122</f>
        <v>673271</v>
      </c>
      <c r="J121" s="1174">
        <f t="shared" si="99"/>
        <v>7.206485238378173</v>
      </c>
      <c r="K121" s="842">
        <f>K122</f>
        <v>0</v>
      </c>
      <c r="L121" s="1174">
        <f t="shared" si="100"/>
        <v>0</v>
      </c>
      <c r="M121" s="842">
        <f t="shared" si="76"/>
        <v>-6637972</v>
      </c>
      <c r="N121" s="3670"/>
      <c r="O121" s="218">
        <f t="shared" si="77"/>
        <v>1</v>
      </c>
    </row>
    <row r="122" spans="1:16" s="2486" customFormat="1" ht="13.5" customHeight="1" x14ac:dyDescent="0.2">
      <c r="A122" s="3666"/>
      <c r="B122" s="243" t="s">
        <v>10</v>
      </c>
      <c r="C122" s="3640"/>
      <c r="D122" s="246">
        <f>+E122+F122+G122+H122</f>
        <v>9342571</v>
      </c>
      <c r="E122" s="2520">
        <v>0</v>
      </c>
      <c r="F122" s="779">
        <v>673272</v>
      </c>
      <c r="G122" s="779">
        <v>6637972</v>
      </c>
      <c r="H122" s="247">
        <f>129366+1521404+380557</f>
        <v>2031327</v>
      </c>
      <c r="I122" s="246">
        <f>F122+K122+E122-1</f>
        <v>673271</v>
      </c>
      <c r="J122" s="780">
        <f t="shared" si="99"/>
        <v>7.206485238378173</v>
      </c>
      <c r="K122" s="779">
        <v>0</v>
      </c>
      <c r="L122" s="780">
        <f t="shared" si="100"/>
        <v>0</v>
      </c>
      <c r="M122" s="779">
        <f t="shared" si="76"/>
        <v>-6637972</v>
      </c>
      <c r="N122" s="3670"/>
      <c r="O122" s="218">
        <f t="shared" si="77"/>
        <v>1</v>
      </c>
      <c r="P122" s="2559"/>
    </row>
    <row r="123" spans="1:16" s="2486" customFormat="1" ht="13.5" customHeight="1" x14ac:dyDescent="0.2">
      <c r="A123" s="3666"/>
      <c r="B123" s="2514" t="s">
        <v>12</v>
      </c>
      <c r="C123" s="3640"/>
      <c r="D123" s="395">
        <f t="shared" ref="D123" si="101">+D124</f>
        <v>10380652</v>
      </c>
      <c r="E123" s="1087">
        <f>+E124</f>
        <v>333872</v>
      </c>
      <c r="F123" s="842">
        <f t="shared" ref="F123:I123" si="102">+F124</f>
        <v>660000</v>
      </c>
      <c r="G123" s="842">
        <f t="shared" si="102"/>
        <v>3745355</v>
      </c>
      <c r="H123" s="397">
        <f>2317184+3185084+139157</f>
        <v>5641425</v>
      </c>
      <c r="I123" s="395">
        <f t="shared" si="102"/>
        <v>991462.58</v>
      </c>
      <c r="J123" s="1174">
        <f t="shared" si="99"/>
        <v>9.5510626885478871</v>
      </c>
      <c r="K123" s="842">
        <f>+K124</f>
        <v>2572.58</v>
      </c>
      <c r="L123" s="1174">
        <f t="shared" si="100"/>
        <v>6.8687213895612026E-2</v>
      </c>
      <c r="M123" s="842">
        <f t="shared" si="76"/>
        <v>-3742782.42</v>
      </c>
      <c r="N123" s="3670"/>
      <c r="O123" s="218">
        <f t="shared" si="77"/>
        <v>4982</v>
      </c>
    </row>
    <row r="124" spans="1:16" s="2486" customFormat="1" ht="13.5" customHeight="1" x14ac:dyDescent="0.2">
      <c r="A124" s="3666"/>
      <c r="B124" s="243" t="s">
        <v>13</v>
      </c>
      <c r="C124" s="3640"/>
      <c r="D124" s="246">
        <f>+E124+F124+G124+H124</f>
        <v>10380652</v>
      </c>
      <c r="E124" s="2553">
        <v>333872</v>
      </c>
      <c r="F124" s="779">
        <v>660000</v>
      </c>
      <c r="G124" s="779">
        <v>3745355</v>
      </c>
      <c r="H124" s="247">
        <f>2317184+3185084+139157</f>
        <v>5641425</v>
      </c>
      <c r="I124" s="246">
        <f>F124+K124+E124-4982</f>
        <v>991462.58</v>
      </c>
      <c r="J124" s="780">
        <f t="shared" si="99"/>
        <v>9.5510626885478871</v>
      </c>
      <c r="K124" s="779">
        <v>2572.58</v>
      </c>
      <c r="L124" s="780">
        <f t="shared" si="100"/>
        <v>6.8687213895612026E-2</v>
      </c>
      <c r="M124" s="779">
        <f t="shared" si="76"/>
        <v>-3742782.42</v>
      </c>
      <c r="N124" s="3670"/>
      <c r="O124" s="218">
        <f t="shared" si="77"/>
        <v>4982</v>
      </c>
    </row>
    <row r="125" spans="1:16" s="2486" customFormat="1" ht="13.5" customHeight="1" x14ac:dyDescent="0.2">
      <c r="A125" s="3666"/>
      <c r="B125" s="846" t="s">
        <v>16</v>
      </c>
      <c r="C125" s="2487"/>
      <c r="D125" s="233">
        <f t="shared" ref="D125" si="103">+D126+D128</f>
        <v>19723223</v>
      </c>
      <c r="E125" s="2467">
        <f>E126+E128</f>
        <v>4405356</v>
      </c>
      <c r="F125" s="234">
        <f t="shared" ref="F125" si="104">+F126+F128</f>
        <v>673272</v>
      </c>
      <c r="G125" s="234">
        <f t="shared" ref="G125:H125" si="105">+G126+G128</f>
        <v>10790233</v>
      </c>
      <c r="H125" s="241">
        <f t="shared" si="105"/>
        <v>3854362</v>
      </c>
      <c r="I125" s="233">
        <f>I126+I128</f>
        <v>5078627</v>
      </c>
      <c r="J125" s="743">
        <f t="shared" si="99"/>
        <v>25.74947816591639</v>
      </c>
      <c r="K125" s="234">
        <f>K126+K128</f>
        <v>0</v>
      </c>
      <c r="L125" s="743">
        <f t="shared" si="100"/>
        <v>0</v>
      </c>
      <c r="M125" s="234">
        <f t="shared" si="76"/>
        <v>-10790233</v>
      </c>
      <c r="N125" s="3670"/>
      <c r="O125" s="218">
        <f t="shared" si="77"/>
        <v>1</v>
      </c>
      <c r="P125" s="2497"/>
    </row>
    <row r="126" spans="1:16" s="2488" customFormat="1" ht="13.5" customHeight="1" x14ac:dyDescent="0.2">
      <c r="A126" s="3666"/>
      <c r="B126" s="2514" t="s">
        <v>3</v>
      </c>
      <c r="C126" s="3208" t="s">
        <v>168</v>
      </c>
      <c r="D126" s="395">
        <f>+D127</f>
        <v>9342571</v>
      </c>
      <c r="E126" s="398">
        <f>SUM(E127:E127)</f>
        <v>0</v>
      </c>
      <c r="F126" s="842">
        <f>SUM(F127:F127)</f>
        <v>673272</v>
      </c>
      <c r="G126" s="842">
        <f>SUM(G127:G127)</f>
        <v>6637972</v>
      </c>
      <c r="H126" s="397">
        <f>SUM(H127:H127)</f>
        <v>2031327</v>
      </c>
      <c r="I126" s="277">
        <f>I127</f>
        <v>673271</v>
      </c>
      <c r="J126" s="144">
        <f t="shared" si="99"/>
        <v>7.206485238378173</v>
      </c>
      <c r="K126" s="278">
        <f>SUM(K127:K127)</f>
        <v>0</v>
      </c>
      <c r="L126" s="144">
        <f t="shared" si="100"/>
        <v>0</v>
      </c>
      <c r="M126" s="842">
        <f t="shared" si="76"/>
        <v>-6637972</v>
      </c>
      <c r="N126" s="3670"/>
      <c r="O126" s="218">
        <f t="shared" si="77"/>
        <v>1</v>
      </c>
    </row>
    <row r="127" spans="1:16" s="2486" customFormat="1" ht="13.5" customHeight="1" x14ac:dyDescent="0.2">
      <c r="A127" s="3666"/>
      <c r="B127" s="243" t="s">
        <v>29</v>
      </c>
      <c r="C127" s="3640"/>
      <c r="D127" s="246">
        <f>+E127+F127+G127+H127</f>
        <v>9342571</v>
      </c>
      <c r="E127" s="2520">
        <v>0</v>
      </c>
      <c r="F127" s="779">
        <v>673272</v>
      </c>
      <c r="G127" s="779">
        <v>6637972</v>
      </c>
      <c r="H127" s="247">
        <f>129366+1521404+380557</f>
        <v>2031327</v>
      </c>
      <c r="I127" s="246">
        <f>F127+K127+E127-1</f>
        <v>673271</v>
      </c>
      <c r="J127" s="780">
        <f t="shared" si="99"/>
        <v>7.206485238378173</v>
      </c>
      <c r="K127" s="779">
        <v>0</v>
      </c>
      <c r="L127" s="780">
        <f>K127/G127*100</f>
        <v>0</v>
      </c>
      <c r="M127" s="779">
        <f t="shared" si="76"/>
        <v>-6637972</v>
      </c>
      <c r="N127" s="3670"/>
      <c r="O127" s="218">
        <f t="shared" si="77"/>
        <v>1</v>
      </c>
      <c r="P127" s="2559"/>
    </row>
    <row r="128" spans="1:16" s="2486" customFormat="1" ht="13.5" customHeight="1" x14ac:dyDescent="0.2">
      <c r="A128" s="3666"/>
      <c r="B128" s="2514" t="s">
        <v>12</v>
      </c>
      <c r="C128" s="3640"/>
      <c r="D128" s="395">
        <f t="shared" ref="D128:H128" si="106">+D129</f>
        <v>10380652</v>
      </c>
      <c r="E128" s="1087">
        <f>+E129</f>
        <v>4405356</v>
      </c>
      <c r="F128" s="289">
        <f t="shared" si="106"/>
        <v>0</v>
      </c>
      <c r="G128" s="842">
        <f t="shared" si="106"/>
        <v>4152261</v>
      </c>
      <c r="H128" s="397">
        <f t="shared" si="106"/>
        <v>1823035</v>
      </c>
      <c r="I128" s="277">
        <f>I129</f>
        <v>4405356</v>
      </c>
      <c r="J128" s="144">
        <f t="shared" si="99"/>
        <v>42.438143577108647</v>
      </c>
      <c r="K128" s="842">
        <f>+K129</f>
        <v>0</v>
      </c>
      <c r="L128" s="144">
        <f t="shared" si="100"/>
        <v>0</v>
      </c>
      <c r="M128" s="289">
        <f t="shared" si="76"/>
        <v>-4152261</v>
      </c>
      <c r="N128" s="3670"/>
      <c r="O128" s="218">
        <f t="shared" si="77"/>
        <v>0</v>
      </c>
    </row>
    <row r="129" spans="1:16" s="2486" customFormat="1" ht="13.5" customHeight="1" thickBot="1" x14ac:dyDescent="0.25">
      <c r="A129" s="3667"/>
      <c r="B129" s="280" t="s">
        <v>13</v>
      </c>
      <c r="C129" s="3630"/>
      <c r="D129" s="264">
        <f>+E129+F129+G129+H129</f>
        <v>10380652</v>
      </c>
      <c r="E129" s="2560">
        <v>4405356</v>
      </c>
      <c r="F129" s="818">
        <v>0</v>
      </c>
      <c r="G129" s="263">
        <v>4152261</v>
      </c>
      <c r="H129" s="265">
        <v>1823035</v>
      </c>
      <c r="I129" s="264">
        <f>F129+K129+E129</f>
        <v>4405356</v>
      </c>
      <c r="J129" s="801">
        <f t="shared" si="99"/>
        <v>42.438143577108647</v>
      </c>
      <c r="K129" s="263">
        <v>0</v>
      </c>
      <c r="L129" s="801">
        <f>K129/G129*100</f>
        <v>0</v>
      </c>
      <c r="M129" s="818">
        <f t="shared" si="76"/>
        <v>-4152261</v>
      </c>
      <c r="N129" s="3659"/>
      <c r="O129" s="218">
        <f t="shared" si="77"/>
        <v>0</v>
      </c>
    </row>
    <row r="130" spans="1:16" s="2486" customFormat="1" ht="36" customHeight="1" x14ac:dyDescent="0.2">
      <c r="A130" s="3656" t="s">
        <v>45</v>
      </c>
      <c r="B130" s="2561" t="s">
        <v>364</v>
      </c>
      <c r="C130" s="2562" t="s">
        <v>166</v>
      </c>
      <c r="D130" s="2563"/>
      <c r="E130" s="2564"/>
      <c r="F130" s="2564"/>
      <c r="G130" s="2564"/>
      <c r="H130" s="2565"/>
      <c r="I130" s="2566"/>
      <c r="J130" s="2567"/>
      <c r="K130" s="2568"/>
      <c r="L130" s="2567"/>
      <c r="M130" s="2564"/>
      <c r="N130" s="3658" t="s">
        <v>167</v>
      </c>
      <c r="O130" s="218">
        <f t="shared" si="77"/>
        <v>0</v>
      </c>
    </row>
    <row r="131" spans="1:16" s="2488" customFormat="1" ht="15.75" customHeight="1" thickBot="1" x14ac:dyDescent="0.25">
      <c r="A131" s="3657"/>
      <c r="B131" s="846" t="s">
        <v>2</v>
      </c>
      <c r="C131" s="2487"/>
      <c r="D131" s="233">
        <f t="shared" ref="D131:F131" si="107">+D132+D134</f>
        <v>154434330</v>
      </c>
      <c r="E131" s="234">
        <f t="shared" si="107"/>
        <v>98614993</v>
      </c>
      <c r="F131" s="234">
        <f t="shared" si="107"/>
        <v>21626894</v>
      </c>
      <c r="G131" s="234">
        <f t="shared" ref="G131:H131" si="108">+G132+G134</f>
        <v>17465000</v>
      </c>
      <c r="H131" s="241">
        <f t="shared" si="108"/>
        <v>16727443</v>
      </c>
      <c r="I131" s="233">
        <f t="shared" ref="I131" si="109">+I132+I134</f>
        <v>122239116.55</v>
      </c>
      <c r="J131" s="743">
        <f t="shared" ref="J131:J162" si="110">I131/D131*100</f>
        <v>79.152813075952736</v>
      </c>
      <c r="K131" s="234">
        <f>+K132+K134</f>
        <v>1706948.55</v>
      </c>
      <c r="L131" s="743">
        <f>K131/G131*100</f>
        <v>9.7735387918694538</v>
      </c>
      <c r="M131" s="234">
        <f t="shared" si="76"/>
        <v>-15758051.449999999</v>
      </c>
      <c r="N131" s="3659"/>
      <c r="O131" s="218">
        <f t="shared" si="77"/>
        <v>-290281</v>
      </c>
    </row>
    <row r="132" spans="1:16" s="2488" customFormat="1" ht="12.75" customHeight="1" x14ac:dyDescent="0.2">
      <c r="A132" s="3634"/>
      <c r="B132" s="2514" t="s">
        <v>3</v>
      </c>
      <c r="C132" s="3208" t="s">
        <v>168</v>
      </c>
      <c r="D132" s="395">
        <f>+D133</f>
        <v>58113339</v>
      </c>
      <c r="E132" s="842">
        <f>+E133</f>
        <v>37956180</v>
      </c>
      <c r="F132" s="842">
        <f>SUM(F133:F133)</f>
        <v>8056137</v>
      </c>
      <c r="G132" s="842">
        <f>SUM(G133:G133)</f>
        <v>6701000</v>
      </c>
      <c r="H132" s="397">
        <f>SUM(H133:H133)</f>
        <v>5400022</v>
      </c>
      <c r="I132" s="395">
        <f>I133</f>
        <v>46661561.469999999</v>
      </c>
      <c r="J132" s="1174">
        <f t="shared" si="110"/>
        <v>80.294063760473307</v>
      </c>
      <c r="K132" s="842">
        <f>SUM(K133:K133)</f>
        <v>616064.47</v>
      </c>
      <c r="L132" s="1174">
        <f>K132/G132*100</f>
        <v>9.1936199074764957</v>
      </c>
      <c r="M132" s="842">
        <f t="shared" si="76"/>
        <v>-6084935.5300000003</v>
      </c>
      <c r="N132" s="3611"/>
      <c r="O132" s="218">
        <f t="shared" si="77"/>
        <v>-33180</v>
      </c>
    </row>
    <row r="133" spans="1:16" s="2486" customFormat="1" ht="12.75" customHeight="1" x14ac:dyDescent="0.2">
      <c r="A133" s="3635"/>
      <c r="B133" s="243" t="s">
        <v>8</v>
      </c>
      <c r="C133" s="3101"/>
      <c r="D133" s="246">
        <f>+E133+F133+G133+H133</f>
        <v>58113339</v>
      </c>
      <c r="E133" s="779">
        <f>5317203+9351074-2530+11796678+11493755</f>
        <v>37956180</v>
      </c>
      <c r="F133" s="779">
        <v>8056137</v>
      </c>
      <c r="G133" s="779">
        <v>6701000</v>
      </c>
      <c r="H133" s="247">
        <v>5400022</v>
      </c>
      <c r="I133" s="246">
        <f>F133+K133+E133+33180</f>
        <v>46661561.469999999</v>
      </c>
      <c r="J133" s="780">
        <f t="shared" si="110"/>
        <v>80.294063760473307</v>
      </c>
      <c r="K133" s="779">
        <v>616064.47</v>
      </c>
      <c r="L133" s="780">
        <f>K133/G133*100</f>
        <v>9.1936199074764957</v>
      </c>
      <c r="M133" s="779">
        <f>+K133-G133</f>
        <v>-6084935.5300000003</v>
      </c>
      <c r="N133" s="3612"/>
      <c r="O133" s="218">
        <f t="shared" si="77"/>
        <v>-33180</v>
      </c>
    </row>
    <row r="134" spans="1:16" s="2486" customFormat="1" ht="12.75" customHeight="1" x14ac:dyDescent="0.2">
      <c r="A134" s="3635"/>
      <c r="B134" s="2514" t="s">
        <v>12</v>
      </c>
      <c r="C134" s="3101"/>
      <c r="D134" s="395">
        <f t="shared" ref="D134:F134" si="111">+D136+D135</f>
        <v>96320991</v>
      </c>
      <c r="E134" s="842">
        <f t="shared" si="111"/>
        <v>60658813</v>
      </c>
      <c r="F134" s="842">
        <f t="shared" si="111"/>
        <v>13570757</v>
      </c>
      <c r="G134" s="842">
        <f t="shared" ref="G134:H134" si="112">+G136+G135</f>
        <v>10764000</v>
      </c>
      <c r="H134" s="397">
        <f t="shared" si="112"/>
        <v>11327421</v>
      </c>
      <c r="I134" s="395">
        <f t="shared" ref="I134" si="113">+I136+I135</f>
        <v>75577555.079999998</v>
      </c>
      <c r="J134" s="1174">
        <f t="shared" si="110"/>
        <v>78.464262353779148</v>
      </c>
      <c r="K134" s="842">
        <f>+K136+K135</f>
        <v>1090884.08</v>
      </c>
      <c r="L134" s="1174">
        <f>K134/G134*100</f>
        <v>10.13456038647343</v>
      </c>
      <c r="M134" s="842">
        <f t="shared" si="76"/>
        <v>-9673115.9199999999</v>
      </c>
      <c r="N134" s="3612"/>
      <c r="O134" s="218">
        <f t="shared" si="77"/>
        <v>-257101</v>
      </c>
    </row>
    <row r="135" spans="1:16" s="2486" customFormat="1" ht="12.75" customHeight="1" x14ac:dyDescent="0.2">
      <c r="A135" s="3635"/>
      <c r="B135" s="290" t="s">
        <v>14</v>
      </c>
      <c r="C135" s="3101"/>
      <c r="D135" s="246">
        <f>+E135+F135+G135+H135</f>
        <v>72270490</v>
      </c>
      <c r="E135" s="779">
        <f>18432309+18176003</f>
        <v>36608312</v>
      </c>
      <c r="F135" s="779">
        <v>13570757</v>
      </c>
      <c r="G135" s="779">
        <v>10764000</v>
      </c>
      <c r="H135" s="247">
        <v>11327421</v>
      </c>
      <c r="I135" s="246">
        <f>F135+K135+E135</f>
        <v>51269953.079999998</v>
      </c>
      <c r="J135" s="780">
        <f t="shared" si="110"/>
        <v>70.941753791900396</v>
      </c>
      <c r="K135" s="779">
        <v>1090884.08</v>
      </c>
      <c r="L135" s="780">
        <f>K135/G135*100</f>
        <v>10.13456038647343</v>
      </c>
      <c r="M135" s="779">
        <f t="shared" si="76"/>
        <v>-9673115.9199999999</v>
      </c>
      <c r="N135" s="3612"/>
      <c r="O135" s="218">
        <f>E135+F135+K135-I135</f>
        <v>0</v>
      </c>
    </row>
    <row r="136" spans="1:16" s="2486" customFormat="1" ht="12.75" customHeight="1" x14ac:dyDescent="0.2">
      <c r="A136" s="3635"/>
      <c r="B136" s="243" t="s">
        <v>8</v>
      </c>
      <c r="C136" s="3101"/>
      <c r="D136" s="246">
        <f>+E136+F136+G136+H136</f>
        <v>24050501</v>
      </c>
      <c r="E136" s="779">
        <f>9132612+14921926-4037</f>
        <v>24050501</v>
      </c>
      <c r="F136" s="250">
        <v>0</v>
      </c>
      <c r="G136" s="250">
        <v>0</v>
      </c>
      <c r="H136" s="782">
        <v>0</v>
      </c>
      <c r="I136" s="246">
        <f>F136+K136+E136+257101</f>
        <v>24307602</v>
      </c>
      <c r="J136" s="780">
        <f t="shared" si="110"/>
        <v>101.06900475794663</v>
      </c>
      <c r="K136" s="250">
        <v>0</v>
      </c>
      <c r="L136" s="250">
        <v>0</v>
      </c>
      <c r="M136" s="250">
        <f t="shared" si="76"/>
        <v>0</v>
      </c>
      <c r="N136" s="3612"/>
      <c r="O136" s="218">
        <f t="shared" si="77"/>
        <v>-257101</v>
      </c>
    </row>
    <row r="137" spans="1:16" s="2486" customFormat="1" ht="15" customHeight="1" x14ac:dyDescent="0.2">
      <c r="A137" s="3635"/>
      <c r="B137" s="846" t="s">
        <v>16</v>
      </c>
      <c r="C137" s="2487"/>
      <c r="D137" s="233">
        <f t="shared" ref="D137:F137" si="114">+D138+D141</f>
        <v>154434330</v>
      </c>
      <c r="E137" s="234">
        <f t="shared" si="114"/>
        <v>98614993</v>
      </c>
      <c r="F137" s="234">
        <f t="shared" si="114"/>
        <v>21626894</v>
      </c>
      <c r="G137" s="234">
        <f t="shared" ref="G137:H137" si="115">+G138+G141</f>
        <v>17465000</v>
      </c>
      <c r="H137" s="241">
        <f t="shared" si="115"/>
        <v>16727443</v>
      </c>
      <c r="I137" s="233">
        <f>+I138+I141</f>
        <v>121948836</v>
      </c>
      <c r="J137" s="743">
        <f t="shared" si="110"/>
        <v>78.964849331104034</v>
      </c>
      <c r="K137" s="234">
        <f>+K138+K141</f>
        <v>1706949</v>
      </c>
      <c r="L137" s="743">
        <f t="shared" ref="L137:L142" si="116">K137/G137*100</f>
        <v>9.7735413684511876</v>
      </c>
      <c r="M137" s="234">
        <f t="shared" si="76"/>
        <v>-15758051</v>
      </c>
      <c r="N137" s="3612"/>
      <c r="O137" s="218">
        <f t="shared" si="77"/>
        <v>0</v>
      </c>
      <c r="P137" s="2497"/>
    </row>
    <row r="138" spans="1:16" s="2241" customFormat="1" ht="12.75" customHeight="1" x14ac:dyDescent="0.2">
      <c r="A138" s="3635"/>
      <c r="B138" s="2514" t="s">
        <v>3</v>
      </c>
      <c r="C138" s="3208" t="s">
        <v>168</v>
      </c>
      <c r="D138" s="277">
        <f>+D139</f>
        <v>58113339</v>
      </c>
      <c r="E138" s="278">
        <f>+E139</f>
        <v>37956180</v>
      </c>
      <c r="F138" s="278">
        <f>SUM(F139:F139)</f>
        <v>8056137</v>
      </c>
      <c r="G138" s="278">
        <f>SUM(G139:G139)</f>
        <v>6701000</v>
      </c>
      <c r="H138" s="288">
        <f>SUM(H139:H139)</f>
        <v>5400022</v>
      </c>
      <c r="I138" s="277">
        <f>SUM(I139:I139)</f>
        <v>46628382</v>
      </c>
      <c r="J138" s="144">
        <f t="shared" si="110"/>
        <v>80.236969347089143</v>
      </c>
      <c r="K138" s="842">
        <f>SUM(K139:K139)</f>
        <v>616065</v>
      </c>
      <c r="L138" s="144">
        <f t="shared" si="116"/>
        <v>9.1936278167437706</v>
      </c>
      <c r="M138" s="278">
        <f t="shared" si="76"/>
        <v>-6084935</v>
      </c>
      <c r="N138" s="3612"/>
      <c r="O138" s="218">
        <f t="shared" si="77"/>
        <v>0</v>
      </c>
      <c r="P138" s="2497"/>
    </row>
    <row r="139" spans="1:16" s="2241" customFormat="1" ht="12.75" customHeight="1" thickBot="1" x14ac:dyDescent="0.25">
      <c r="A139" s="3635"/>
      <c r="B139" s="1550" t="s">
        <v>8</v>
      </c>
      <c r="C139" s="3101"/>
      <c r="D139" s="246">
        <f>+E139+F139+G139+H139</f>
        <v>58113339</v>
      </c>
      <c r="E139" s="779">
        <f>5317203+9351074-2530+11796678+11493755</f>
        <v>37956180</v>
      </c>
      <c r="F139" s="779">
        <v>8056137</v>
      </c>
      <c r="G139" s="779">
        <v>6701000</v>
      </c>
      <c r="H139" s="247">
        <v>5400022</v>
      </c>
      <c r="I139" s="246">
        <f>F139+K139+E139</f>
        <v>46628382</v>
      </c>
      <c r="J139" s="780">
        <f t="shared" si="110"/>
        <v>80.236969347089143</v>
      </c>
      <c r="K139" s="779">
        <v>616065</v>
      </c>
      <c r="L139" s="780">
        <f t="shared" si="116"/>
        <v>9.1936278167437706</v>
      </c>
      <c r="M139" s="779">
        <f t="shared" ref="M139:M202" si="117">+K139-G139</f>
        <v>-6084935</v>
      </c>
      <c r="N139" s="3612"/>
      <c r="O139" s="218">
        <f t="shared" ref="O139:O202" si="118">E139+F139+K139-I139</f>
        <v>0</v>
      </c>
      <c r="P139" s="2497"/>
    </row>
    <row r="140" spans="1:16" s="2241" customFormat="1" ht="12.75" hidden="1" customHeight="1" thickBot="1" x14ac:dyDescent="0.25">
      <c r="A140" s="3653"/>
      <c r="B140" s="243" t="s">
        <v>14</v>
      </c>
      <c r="C140" s="3101"/>
      <c r="D140" s="2556">
        <f>+E140+F140+G140+H140</f>
        <v>0</v>
      </c>
      <c r="E140" s="2556"/>
      <c r="F140" s="2516"/>
      <c r="G140" s="2516"/>
      <c r="H140" s="2516"/>
      <c r="I140" s="2569" t="e">
        <f>#REF!+K140+#REF!</f>
        <v>#REF!</v>
      </c>
      <c r="J140" s="2570" t="e">
        <f t="shared" si="110"/>
        <v>#REF!</v>
      </c>
      <c r="K140" s="2553"/>
      <c r="L140" s="2570" t="e">
        <f t="shared" si="116"/>
        <v>#DIV/0!</v>
      </c>
      <c r="M140" s="2490">
        <f t="shared" si="117"/>
        <v>0</v>
      </c>
      <c r="N140" s="3645"/>
      <c r="O140" s="218" t="e">
        <f t="shared" si="118"/>
        <v>#REF!</v>
      </c>
      <c r="P140" s="2497"/>
    </row>
    <row r="141" spans="1:16" s="2241" customFormat="1" ht="12.75" customHeight="1" x14ac:dyDescent="0.2">
      <c r="A141" s="3634"/>
      <c r="B141" s="2514" t="s">
        <v>12</v>
      </c>
      <c r="C141" s="3101"/>
      <c r="D141" s="277">
        <f t="shared" ref="D141:I141" si="119">+D143+D142</f>
        <v>96320991</v>
      </c>
      <c r="E141" s="278">
        <f t="shared" si="119"/>
        <v>60658813</v>
      </c>
      <c r="F141" s="278">
        <f t="shared" si="119"/>
        <v>13570757</v>
      </c>
      <c r="G141" s="278">
        <f t="shared" ref="G141:H141" si="120">+G143+G142</f>
        <v>10764000</v>
      </c>
      <c r="H141" s="288">
        <f t="shared" si="120"/>
        <v>11327421</v>
      </c>
      <c r="I141" s="277">
        <f t="shared" si="119"/>
        <v>75320454</v>
      </c>
      <c r="J141" s="144">
        <f t="shared" si="110"/>
        <v>78.197341221292049</v>
      </c>
      <c r="K141" s="842">
        <f>+K143+K142</f>
        <v>1090884</v>
      </c>
      <c r="L141" s="144">
        <f t="shared" si="116"/>
        <v>10.134559643255296</v>
      </c>
      <c r="M141" s="278">
        <f t="shared" si="117"/>
        <v>-9673116</v>
      </c>
      <c r="N141" s="3611"/>
      <c r="O141" s="218">
        <f t="shared" si="118"/>
        <v>0</v>
      </c>
      <c r="P141" s="2497"/>
    </row>
    <row r="142" spans="1:16" s="2241" customFormat="1" ht="12" customHeight="1" x14ac:dyDescent="0.2">
      <c r="A142" s="3635"/>
      <c r="B142" s="2087" t="s">
        <v>14</v>
      </c>
      <c r="C142" s="3101"/>
      <c r="D142" s="246">
        <f>+E142+F142+G142+H142</f>
        <v>72270490</v>
      </c>
      <c r="E142" s="779">
        <f>18432309+18176003</f>
        <v>36608312</v>
      </c>
      <c r="F142" s="779">
        <v>13570757</v>
      </c>
      <c r="G142" s="779">
        <v>10764000</v>
      </c>
      <c r="H142" s="247">
        <v>11327421</v>
      </c>
      <c r="I142" s="246">
        <f>F142+K142+E142</f>
        <v>51269953</v>
      </c>
      <c r="J142" s="780">
        <f t="shared" si="110"/>
        <v>70.941753681205157</v>
      </c>
      <c r="K142" s="779">
        <v>1090884</v>
      </c>
      <c r="L142" s="780">
        <f t="shared" si="116"/>
        <v>10.134559643255296</v>
      </c>
      <c r="M142" s="779">
        <f t="shared" si="117"/>
        <v>-9673116</v>
      </c>
      <c r="N142" s="3612"/>
      <c r="O142" s="218">
        <f t="shared" si="118"/>
        <v>0</v>
      </c>
      <c r="P142" s="2497"/>
    </row>
    <row r="143" spans="1:16" s="2241" customFormat="1" ht="13.5" customHeight="1" thickBot="1" x14ac:dyDescent="0.25">
      <c r="A143" s="3636"/>
      <c r="B143" s="280" t="s">
        <v>8</v>
      </c>
      <c r="C143" s="3104"/>
      <c r="D143" s="264">
        <f>+E143+F143+G143+H143</f>
        <v>24050501</v>
      </c>
      <c r="E143" s="263">
        <f>9132612+14921926-4037</f>
        <v>24050501</v>
      </c>
      <c r="F143" s="1941">
        <v>0</v>
      </c>
      <c r="G143" s="818">
        <v>0</v>
      </c>
      <c r="H143" s="876">
        <v>0</v>
      </c>
      <c r="I143" s="264">
        <f>F143+K143+E143</f>
        <v>24050501</v>
      </c>
      <c r="J143" s="801">
        <f t="shared" si="110"/>
        <v>100</v>
      </c>
      <c r="K143" s="818">
        <v>0</v>
      </c>
      <c r="L143" s="818">
        <v>0</v>
      </c>
      <c r="M143" s="818">
        <f t="shared" si="117"/>
        <v>0</v>
      </c>
      <c r="N143" s="3645"/>
      <c r="O143" s="218">
        <f t="shared" si="118"/>
        <v>0</v>
      </c>
      <c r="P143" s="2497"/>
    </row>
    <row r="144" spans="1:16" s="2486" customFormat="1" ht="64.5" hidden="1" thickBot="1" x14ac:dyDescent="0.25">
      <c r="A144" s="3617" t="s">
        <v>44</v>
      </c>
      <c r="B144" s="2571" t="s">
        <v>174</v>
      </c>
      <c r="C144" s="2572"/>
      <c r="D144" s="2573"/>
      <c r="E144" s="2574"/>
      <c r="F144" s="2574"/>
      <c r="G144" s="2574"/>
      <c r="H144" s="2575"/>
      <c r="I144" s="2576"/>
      <c r="J144" s="2577" t="e">
        <f t="shared" si="110"/>
        <v>#DIV/0!</v>
      </c>
      <c r="K144" s="2578"/>
      <c r="L144" s="2577" t="e">
        <f t="shared" ref="L144:L189" si="121">K144/G144*100</f>
        <v>#DIV/0!</v>
      </c>
      <c r="M144" s="2574">
        <f t="shared" si="117"/>
        <v>0</v>
      </c>
      <c r="N144" s="3618" t="s">
        <v>175</v>
      </c>
      <c r="O144" s="218">
        <f t="shared" si="118"/>
        <v>0</v>
      </c>
    </row>
    <row r="145" spans="1:16" s="2488" customFormat="1" ht="13.5" hidden="1" customHeight="1" x14ac:dyDescent="0.2">
      <c r="A145" s="3615"/>
      <c r="B145" s="2579" t="s">
        <v>2</v>
      </c>
      <c r="C145" s="2580"/>
      <c r="D145" s="2581">
        <f>+D146+D149</f>
        <v>0</v>
      </c>
      <c r="E145" s="2582">
        <f>+E146+E149</f>
        <v>0</v>
      </c>
      <c r="F145" s="2582">
        <f>+F146+F149</f>
        <v>0</v>
      </c>
      <c r="G145" s="2582">
        <f>+G146+G149</f>
        <v>0</v>
      </c>
      <c r="H145" s="2583">
        <f>H146+H147</f>
        <v>0</v>
      </c>
      <c r="I145" s="2584" t="e">
        <f>I146</f>
        <v>#REF!</v>
      </c>
      <c r="J145" s="2582" t="e">
        <f t="shared" si="110"/>
        <v>#REF!</v>
      </c>
      <c r="K145" s="2585">
        <f>+K146+K149</f>
        <v>0</v>
      </c>
      <c r="L145" s="2582" t="e">
        <f t="shared" si="121"/>
        <v>#DIV/0!</v>
      </c>
      <c r="M145" s="2585">
        <f t="shared" si="117"/>
        <v>0</v>
      </c>
      <c r="N145" s="3660"/>
      <c r="O145" s="218" t="e">
        <f t="shared" si="118"/>
        <v>#REF!</v>
      </c>
    </row>
    <row r="146" spans="1:16" s="2488" customFormat="1" ht="13.5" hidden="1" customHeight="1" x14ac:dyDescent="0.2">
      <c r="A146" s="3615"/>
      <c r="B146" s="2586" t="s">
        <v>3</v>
      </c>
      <c r="C146" s="3448" t="s">
        <v>176</v>
      </c>
      <c r="D146" s="2587">
        <f>+D147</f>
        <v>0</v>
      </c>
      <c r="E146" s="1288">
        <f>+E147+E148</f>
        <v>0</v>
      </c>
      <c r="F146" s="1288">
        <f>SUM(F147:F148)</f>
        <v>0</v>
      </c>
      <c r="G146" s="1288">
        <f>SUM(G147:G148)</f>
        <v>0</v>
      </c>
      <c r="H146" s="2588">
        <v>0</v>
      </c>
      <c r="I146" s="2589" t="e">
        <f>I147</f>
        <v>#REF!</v>
      </c>
      <c r="J146" s="2590" t="e">
        <f t="shared" si="110"/>
        <v>#REF!</v>
      </c>
      <c r="K146" s="1288">
        <f>SUM(K147:K148)</f>
        <v>0</v>
      </c>
      <c r="L146" s="2590" t="e">
        <f t="shared" si="121"/>
        <v>#DIV/0!</v>
      </c>
      <c r="M146" s="2591">
        <f t="shared" si="117"/>
        <v>0</v>
      </c>
      <c r="N146" s="3660"/>
      <c r="O146" s="218" t="e">
        <f t="shared" si="118"/>
        <v>#REF!</v>
      </c>
    </row>
    <row r="147" spans="1:16" s="2486" customFormat="1" ht="13.5" hidden="1" customHeight="1" x14ac:dyDescent="0.2">
      <c r="A147" s="3615"/>
      <c r="B147" s="243" t="s">
        <v>4</v>
      </c>
      <c r="C147" s="3642"/>
      <c r="D147" s="2592">
        <f>+E147+F147+G147+H147</f>
        <v>0</v>
      </c>
      <c r="E147" s="2294"/>
      <c r="F147" s="2294"/>
      <c r="G147" s="2294">
        <v>0</v>
      </c>
      <c r="H147" s="1538">
        <v>0</v>
      </c>
      <c r="I147" s="2593" t="e">
        <f>#REF!+K147</f>
        <v>#REF!</v>
      </c>
      <c r="J147" s="2294" t="e">
        <f t="shared" si="110"/>
        <v>#REF!</v>
      </c>
      <c r="K147" s="2294">
        <v>0</v>
      </c>
      <c r="L147" s="2294" t="e">
        <f t="shared" si="121"/>
        <v>#DIV/0!</v>
      </c>
      <c r="M147" s="2294">
        <f t="shared" si="117"/>
        <v>0</v>
      </c>
      <c r="N147" s="3660"/>
      <c r="O147" s="218" t="e">
        <f t="shared" si="118"/>
        <v>#REF!</v>
      </c>
      <c r="P147" s="2559"/>
    </row>
    <row r="148" spans="1:16" s="2486" customFormat="1" ht="13.5" hidden="1" customHeight="1" x14ac:dyDescent="0.2">
      <c r="A148" s="3615"/>
      <c r="B148" s="2594" t="s">
        <v>8</v>
      </c>
      <c r="C148" s="3642"/>
      <c r="D148" s="2595"/>
      <c r="E148" s="2294"/>
      <c r="F148" s="2294"/>
      <c r="G148" s="2294"/>
      <c r="H148" s="2596"/>
      <c r="I148" s="2597"/>
      <c r="J148" s="2598" t="e">
        <f t="shared" si="110"/>
        <v>#DIV/0!</v>
      </c>
      <c r="K148" s="2598"/>
      <c r="L148" s="2598" t="e">
        <f t="shared" si="121"/>
        <v>#DIV/0!</v>
      </c>
      <c r="M148" s="2598">
        <f t="shared" si="117"/>
        <v>0</v>
      </c>
      <c r="N148" s="3660"/>
      <c r="O148" s="218">
        <f t="shared" si="118"/>
        <v>0</v>
      </c>
    </row>
    <row r="149" spans="1:16" s="2486" customFormat="1" ht="13.5" hidden="1" customHeight="1" x14ac:dyDescent="0.2">
      <c r="A149" s="3615"/>
      <c r="B149" s="2599" t="s">
        <v>12</v>
      </c>
      <c r="C149" s="3642"/>
      <c r="D149" s="2600">
        <f>+D150</f>
        <v>0</v>
      </c>
      <c r="E149" s="1288">
        <f>+E150</f>
        <v>0</v>
      </c>
      <c r="F149" s="1288">
        <f>+F150</f>
        <v>0</v>
      </c>
      <c r="G149" s="1288">
        <f>+G150</f>
        <v>0</v>
      </c>
      <c r="H149" s="2601"/>
      <c r="I149" s="2602"/>
      <c r="J149" s="2603" t="e">
        <f t="shared" si="110"/>
        <v>#DIV/0!</v>
      </c>
      <c r="K149" s="2603"/>
      <c r="L149" s="2603" t="e">
        <f t="shared" si="121"/>
        <v>#DIV/0!</v>
      </c>
      <c r="M149" s="2603">
        <f t="shared" si="117"/>
        <v>0</v>
      </c>
      <c r="N149" s="3660"/>
      <c r="O149" s="218">
        <f t="shared" si="118"/>
        <v>0</v>
      </c>
    </row>
    <row r="150" spans="1:16" s="2486" customFormat="1" ht="13.5" hidden="1" customHeight="1" x14ac:dyDescent="0.2">
      <c r="A150" s="3615"/>
      <c r="B150" s="2604" t="s">
        <v>8</v>
      </c>
      <c r="C150" s="3643"/>
      <c r="D150" s="2605"/>
      <c r="E150" s="2294"/>
      <c r="F150" s="2294"/>
      <c r="G150" s="2294"/>
      <c r="H150" s="2606"/>
      <c r="I150" s="2607"/>
      <c r="J150" s="2608" t="e">
        <f t="shared" si="110"/>
        <v>#DIV/0!</v>
      </c>
      <c r="K150" s="2608"/>
      <c r="L150" s="2608" t="e">
        <f t="shared" si="121"/>
        <v>#DIV/0!</v>
      </c>
      <c r="M150" s="2608">
        <f t="shared" si="117"/>
        <v>0</v>
      </c>
      <c r="N150" s="3660"/>
      <c r="O150" s="218">
        <f t="shared" si="118"/>
        <v>0</v>
      </c>
    </row>
    <row r="151" spans="1:16" s="2486" customFormat="1" ht="13.5" hidden="1" customHeight="1" x14ac:dyDescent="0.2">
      <c r="A151" s="3227"/>
      <c r="B151" s="846" t="s">
        <v>16</v>
      </c>
      <c r="C151" s="2487"/>
      <c r="D151" s="2581">
        <f>+D152+D156</f>
        <v>0</v>
      </c>
      <c r="E151" s="2582">
        <f>+E152+E156</f>
        <v>0</v>
      </c>
      <c r="F151" s="2582">
        <f>+F152+F156</f>
        <v>0</v>
      </c>
      <c r="G151" s="2582">
        <f>+G152+G156</f>
        <v>0</v>
      </c>
      <c r="H151" s="2583">
        <f>H152+H153</f>
        <v>0</v>
      </c>
      <c r="I151" s="2584" t="e">
        <f>I152</f>
        <v>#REF!</v>
      </c>
      <c r="J151" s="2582" t="e">
        <f t="shared" si="110"/>
        <v>#REF!</v>
      </c>
      <c r="K151" s="2582">
        <f>K152</f>
        <v>0</v>
      </c>
      <c r="L151" s="2582" t="e">
        <f t="shared" si="121"/>
        <v>#DIV/0!</v>
      </c>
      <c r="M151" s="2585">
        <f t="shared" si="117"/>
        <v>0</v>
      </c>
      <c r="N151" s="3660"/>
      <c r="O151" s="218" t="e">
        <f t="shared" si="118"/>
        <v>#REF!</v>
      </c>
      <c r="P151" s="2497"/>
    </row>
    <row r="152" spans="1:16" s="2241" customFormat="1" ht="12.75" hidden="1" customHeight="1" x14ac:dyDescent="0.2">
      <c r="A152" s="3228"/>
      <c r="B152" s="2609" t="s">
        <v>3</v>
      </c>
      <c r="C152" s="3307" t="s">
        <v>176</v>
      </c>
      <c r="D152" s="2610">
        <f>+D154</f>
        <v>0</v>
      </c>
      <c r="E152" s="1290">
        <f>+E153+E154</f>
        <v>0</v>
      </c>
      <c r="F152" s="1290">
        <f>+F153+F154</f>
        <v>0</v>
      </c>
      <c r="G152" s="1290">
        <f>+G153+G154</f>
        <v>0</v>
      </c>
      <c r="H152" s="2611">
        <v>0</v>
      </c>
      <c r="I152" s="2612" t="e">
        <f>I154</f>
        <v>#REF!</v>
      </c>
      <c r="J152" s="1290" t="e">
        <f t="shared" si="110"/>
        <v>#REF!</v>
      </c>
      <c r="K152" s="2613">
        <f>K154</f>
        <v>0</v>
      </c>
      <c r="L152" s="1290" t="e">
        <f t="shared" si="121"/>
        <v>#DIV/0!</v>
      </c>
      <c r="M152" s="1290">
        <f t="shared" si="117"/>
        <v>0</v>
      </c>
      <c r="N152" s="3661"/>
      <c r="O152" s="218" t="e">
        <f t="shared" si="118"/>
        <v>#REF!</v>
      </c>
      <c r="P152" s="2497"/>
    </row>
    <row r="153" spans="1:16" s="2241" customFormat="1" ht="11.25" hidden="1" customHeight="1" x14ac:dyDescent="0.2">
      <c r="A153" s="3227"/>
      <c r="B153" s="2614" t="s">
        <v>8</v>
      </c>
      <c r="C153" s="3662"/>
      <c r="D153" s="2503">
        <f>+E153+F153+G153+H153</f>
        <v>0</v>
      </c>
      <c r="E153" s="2615"/>
      <c r="F153" s="2615"/>
      <c r="G153" s="2615"/>
      <c r="H153" s="2616"/>
      <c r="I153" s="2617"/>
      <c r="J153" s="2615" t="e">
        <f t="shared" si="110"/>
        <v>#DIV/0!</v>
      </c>
      <c r="K153" s="2618"/>
      <c r="L153" s="2615" t="e">
        <f t="shared" si="121"/>
        <v>#DIV/0!</v>
      </c>
      <c r="M153" s="2615">
        <f t="shared" si="117"/>
        <v>0</v>
      </c>
      <c r="N153" s="3660"/>
      <c r="O153" s="218">
        <f t="shared" si="118"/>
        <v>0</v>
      </c>
      <c r="P153" s="2497"/>
    </row>
    <row r="154" spans="1:16" s="2241" customFormat="1" ht="14.25" hidden="1" customHeight="1" thickBot="1" x14ac:dyDescent="0.25">
      <c r="A154" s="3228"/>
      <c r="B154" s="280" t="s">
        <v>4</v>
      </c>
      <c r="C154" s="3663"/>
      <c r="D154" s="2619">
        <f>+E154+F154+G154+H154</f>
        <v>0</v>
      </c>
      <c r="E154" s="1941"/>
      <c r="F154" s="1941"/>
      <c r="G154" s="1941">
        <v>0</v>
      </c>
      <c r="H154" s="1617">
        <v>0</v>
      </c>
      <c r="I154" s="2299" t="e">
        <f>#REF!+K154</f>
        <v>#REF!</v>
      </c>
      <c r="J154" s="1941" t="e">
        <f t="shared" si="110"/>
        <v>#REF!</v>
      </c>
      <c r="K154" s="1941">
        <v>0</v>
      </c>
      <c r="L154" s="1941" t="e">
        <f t="shared" si="121"/>
        <v>#DIV/0!</v>
      </c>
      <c r="M154" s="1941">
        <f t="shared" si="117"/>
        <v>0</v>
      </c>
      <c r="N154" s="3661"/>
      <c r="O154" s="218" t="e">
        <f t="shared" si="118"/>
        <v>#REF!</v>
      </c>
      <c r="P154" s="2497"/>
    </row>
    <row r="155" spans="1:16" s="2241" customFormat="1" ht="12.75" hidden="1" customHeight="1" x14ac:dyDescent="0.2">
      <c r="A155" s="2620"/>
      <c r="B155" s="2621" t="s">
        <v>12</v>
      </c>
      <c r="C155" s="2622"/>
      <c r="D155" s="2623"/>
      <c r="E155" s="2624"/>
      <c r="F155" s="2624"/>
      <c r="G155" s="2624"/>
      <c r="H155" s="2625"/>
      <c r="I155" s="2259"/>
      <c r="J155" s="2626" t="e">
        <f t="shared" si="110"/>
        <v>#DIV/0!</v>
      </c>
      <c r="K155" s="2627"/>
      <c r="L155" s="2626" t="e">
        <f t="shared" si="121"/>
        <v>#DIV/0!</v>
      </c>
      <c r="M155" s="2624">
        <f t="shared" si="117"/>
        <v>0</v>
      </c>
      <c r="N155" s="2628"/>
      <c r="O155" s="218">
        <f t="shared" si="118"/>
        <v>0</v>
      </c>
      <c r="P155" s="2497"/>
    </row>
    <row r="156" spans="1:16" s="2241" customFormat="1" ht="14.25" hidden="1" customHeight="1" x14ac:dyDescent="0.2">
      <c r="A156" s="2629"/>
      <c r="B156" s="2630" t="s">
        <v>8</v>
      </c>
      <c r="C156" s="2631"/>
      <c r="D156" s="2632"/>
      <c r="E156" s="2633"/>
      <c r="F156" s="2633"/>
      <c r="G156" s="2633"/>
      <c r="H156" s="2634"/>
      <c r="I156" s="2635"/>
      <c r="J156" s="2636" t="e">
        <f t="shared" si="110"/>
        <v>#DIV/0!</v>
      </c>
      <c r="K156" s="2637"/>
      <c r="L156" s="2636" t="e">
        <f t="shared" si="121"/>
        <v>#DIV/0!</v>
      </c>
      <c r="M156" s="2633">
        <f t="shared" si="117"/>
        <v>0</v>
      </c>
      <c r="N156" s="2638"/>
      <c r="O156" s="218">
        <f t="shared" si="118"/>
        <v>0</v>
      </c>
      <c r="P156" s="2497"/>
    </row>
    <row r="157" spans="1:16" s="2241" customFormat="1" ht="15" hidden="1" customHeight="1" x14ac:dyDescent="0.2">
      <c r="A157" s="2639"/>
      <c r="B157" s="2640" t="s">
        <v>13</v>
      </c>
      <c r="C157" s="2641"/>
      <c r="D157" s="2642"/>
      <c r="E157" s="2643"/>
      <c r="F157" s="2643"/>
      <c r="G157" s="2643"/>
      <c r="H157" s="2644"/>
      <c r="I157" s="2645"/>
      <c r="J157" s="2646" t="e">
        <f t="shared" si="110"/>
        <v>#DIV/0!</v>
      </c>
      <c r="K157" s="2647"/>
      <c r="L157" s="2646" t="e">
        <f t="shared" si="121"/>
        <v>#DIV/0!</v>
      </c>
      <c r="M157" s="2643">
        <f t="shared" si="117"/>
        <v>0</v>
      </c>
      <c r="N157" s="2648"/>
      <c r="O157" s="218">
        <f t="shared" si="118"/>
        <v>0</v>
      </c>
      <c r="P157" s="2497"/>
    </row>
    <row r="158" spans="1:16" ht="51.75" hidden="1" thickBot="1" x14ac:dyDescent="0.25">
      <c r="A158" s="3651" t="s">
        <v>32</v>
      </c>
      <c r="B158" s="2649" t="s">
        <v>177</v>
      </c>
      <c r="C158" s="2650"/>
      <c r="D158" s="2651"/>
      <c r="E158" s="2652"/>
      <c r="F158" s="2652"/>
      <c r="G158" s="2652"/>
      <c r="H158" s="2653"/>
      <c r="I158" s="2654"/>
      <c r="J158" s="2655" t="e">
        <f t="shared" si="110"/>
        <v>#DIV/0!</v>
      </c>
      <c r="K158" s="2656"/>
      <c r="L158" s="2655" t="e">
        <f t="shared" si="121"/>
        <v>#DIV/0!</v>
      </c>
      <c r="M158" s="2652">
        <f t="shared" si="117"/>
        <v>0</v>
      </c>
      <c r="N158" s="3652" t="s">
        <v>178</v>
      </c>
      <c r="O158" s="218">
        <f t="shared" si="118"/>
        <v>0</v>
      </c>
    </row>
    <row r="159" spans="1:16" ht="12.95" hidden="1" customHeight="1" x14ac:dyDescent="0.2">
      <c r="A159" s="3635"/>
      <c r="B159" s="2657" t="s">
        <v>2</v>
      </c>
      <c r="C159" s="2658"/>
      <c r="D159" s="2659">
        <f>+D161</f>
        <v>0</v>
      </c>
      <c r="E159" s="2660"/>
      <c r="F159" s="2660"/>
      <c r="G159" s="2660"/>
      <c r="H159" s="2661"/>
      <c r="I159" s="2662"/>
      <c r="J159" s="2663" t="e">
        <f t="shared" si="110"/>
        <v>#DIV/0!</v>
      </c>
      <c r="K159" s="2664"/>
      <c r="L159" s="2663" t="e">
        <f t="shared" si="121"/>
        <v>#DIV/0!</v>
      </c>
      <c r="M159" s="2660">
        <f t="shared" si="117"/>
        <v>0</v>
      </c>
      <c r="N159" s="3612"/>
      <c r="O159" s="218">
        <f t="shared" si="118"/>
        <v>0</v>
      </c>
    </row>
    <row r="160" spans="1:16" ht="14.25" hidden="1" customHeight="1" x14ac:dyDescent="0.2">
      <c r="A160" s="3635"/>
      <c r="B160" s="2665" t="s">
        <v>3</v>
      </c>
      <c r="C160" s="3641" t="s">
        <v>179</v>
      </c>
      <c r="D160" s="2666">
        <f t="shared" ref="D160" si="122">+D161</f>
        <v>0</v>
      </c>
      <c r="E160" s="2667"/>
      <c r="F160" s="2667"/>
      <c r="G160" s="2667"/>
      <c r="H160" s="2668"/>
      <c r="I160" s="2669"/>
      <c r="J160" s="2670" t="e">
        <f t="shared" si="110"/>
        <v>#DIV/0!</v>
      </c>
      <c r="K160" s="2667"/>
      <c r="L160" s="2670" t="e">
        <f t="shared" si="121"/>
        <v>#DIV/0!</v>
      </c>
      <c r="M160" s="2667">
        <f t="shared" si="117"/>
        <v>0</v>
      </c>
      <c r="N160" s="3612"/>
      <c r="O160" s="218">
        <f t="shared" si="118"/>
        <v>0</v>
      </c>
    </row>
    <row r="161" spans="1:15" ht="12.95" hidden="1" customHeight="1" x14ac:dyDescent="0.2">
      <c r="A161" s="3635"/>
      <c r="B161" s="2671" t="s">
        <v>85</v>
      </c>
      <c r="C161" s="3642"/>
      <c r="D161" s="2672">
        <v>0</v>
      </c>
      <c r="E161" s="2673"/>
      <c r="F161" s="2673"/>
      <c r="G161" s="2673"/>
      <c r="H161" s="2674"/>
      <c r="I161" s="2675"/>
      <c r="J161" s="2676" t="e">
        <f t="shared" si="110"/>
        <v>#DIV/0!</v>
      </c>
      <c r="K161" s="2677"/>
      <c r="L161" s="2676" t="e">
        <f t="shared" si="121"/>
        <v>#DIV/0!</v>
      </c>
      <c r="M161" s="2673">
        <f t="shared" si="117"/>
        <v>0</v>
      </c>
      <c r="N161" s="3612"/>
      <c r="O161" s="218">
        <f t="shared" si="118"/>
        <v>0</v>
      </c>
    </row>
    <row r="162" spans="1:15" ht="12.95" hidden="1" customHeight="1" x14ac:dyDescent="0.2">
      <c r="A162" s="3635"/>
      <c r="B162" s="2657" t="s">
        <v>16</v>
      </c>
      <c r="C162" s="2658"/>
      <c r="D162" s="2659">
        <f t="shared" ref="D162:D163" si="123">+D163</f>
        <v>0</v>
      </c>
      <c r="E162" s="2660"/>
      <c r="F162" s="2660"/>
      <c r="G162" s="2660"/>
      <c r="H162" s="2661"/>
      <c r="I162" s="2662"/>
      <c r="J162" s="2663" t="e">
        <f t="shared" si="110"/>
        <v>#DIV/0!</v>
      </c>
      <c r="K162" s="2664"/>
      <c r="L162" s="2663" t="e">
        <f t="shared" si="121"/>
        <v>#DIV/0!</v>
      </c>
      <c r="M162" s="2660">
        <f t="shared" si="117"/>
        <v>0</v>
      </c>
      <c r="N162" s="3612"/>
      <c r="O162" s="218">
        <f t="shared" si="118"/>
        <v>0</v>
      </c>
    </row>
    <row r="163" spans="1:15" ht="12.95" hidden="1" customHeight="1" x14ac:dyDescent="0.2">
      <c r="A163" s="3635"/>
      <c r="B163" s="2665" t="s">
        <v>3</v>
      </c>
      <c r="C163" s="3641" t="s">
        <v>179</v>
      </c>
      <c r="D163" s="2666">
        <f t="shared" si="123"/>
        <v>0</v>
      </c>
      <c r="E163" s="2667"/>
      <c r="F163" s="2667"/>
      <c r="G163" s="2667"/>
      <c r="H163" s="2668"/>
      <c r="I163" s="2669"/>
      <c r="J163" s="2670" t="e">
        <f t="shared" ref="J163:J189" si="124">I163/D163*100</f>
        <v>#DIV/0!</v>
      </c>
      <c r="K163" s="2667"/>
      <c r="L163" s="2670" t="e">
        <f t="shared" si="121"/>
        <v>#DIV/0!</v>
      </c>
      <c r="M163" s="2667">
        <f t="shared" si="117"/>
        <v>0</v>
      </c>
      <c r="N163" s="3612"/>
      <c r="O163" s="218">
        <f t="shared" si="118"/>
        <v>0</v>
      </c>
    </row>
    <row r="164" spans="1:15" ht="12.95" hidden="1" customHeight="1" thickBot="1" x14ac:dyDescent="0.25">
      <c r="A164" s="2678"/>
      <c r="B164" s="2604" t="s">
        <v>85</v>
      </c>
      <c r="C164" s="3643"/>
      <c r="D164" s="2642">
        <v>0</v>
      </c>
      <c r="E164" s="2643"/>
      <c r="F164" s="2643"/>
      <c r="G164" s="2643"/>
      <c r="H164" s="2644"/>
      <c r="I164" s="2645"/>
      <c r="J164" s="2646" t="e">
        <f t="shared" si="124"/>
        <v>#DIV/0!</v>
      </c>
      <c r="K164" s="2647"/>
      <c r="L164" s="2646" t="e">
        <f t="shared" si="121"/>
        <v>#DIV/0!</v>
      </c>
      <c r="M164" s="2643">
        <f t="shared" si="117"/>
        <v>0</v>
      </c>
      <c r="N164" s="3613"/>
      <c r="O164" s="218">
        <f t="shared" si="118"/>
        <v>0</v>
      </c>
    </row>
    <row r="165" spans="1:15" ht="67.5" hidden="1" customHeight="1" x14ac:dyDescent="0.2">
      <c r="A165" s="3614" t="s">
        <v>32</v>
      </c>
      <c r="B165" s="2679" t="s">
        <v>180</v>
      </c>
      <c r="C165" s="2680"/>
      <c r="D165" s="2573"/>
      <c r="E165" s="2681"/>
      <c r="F165" s="2681"/>
      <c r="G165" s="2681"/>
      <c r="H165" s="2682"/>
      <c r="I165" s="2576"/>
      <c r="J165" s="2683" t="e">
        <f t="shared" si="124"/>
        <v>#DIV/0!</v>
      </c>
      <c r="K165" s="2684"/>
      <c r="L165" s="2683" t="e">
        <f t="shared" si="121"/>
        <v>#DIV/0!</v>
      </c>
      <c r="M165" s="2681">
        <f t="shared" si="117"/>
        <v>0</v>
      </c>
      <c r="N165" s="3611" t="s">
        <v>181</v>
      </c>
      <c r="O165" s="218">
        <f t="shared" si="118"/>
        <v>0</v>
      </c>
    </row>
    <row r="166" spans="1:15" ht="12.95" hidden="1" customHeight="1" x14ac:dyDescent="0.2">
      <c r="A166" s="3227"/>
      <c r="B166" s="220" t="s">
        <v>2</v>
      </c>
      <c r="C166" s="2685"/>
      <c r="D166" s="2686"/>
      <c r="E166" s="2060"/>
      <c r="F166" s="2060"/>
      <c r="G166" s="2060"/>
      <c r="H166" s="2083"/>
      <c r="I166" s="2687"/>
      <c r="J166" s="2060" t="e">
        <f t="shared" si="124"/>
        <v>#DIV/0!</v>
      </c>
      <c r="K166" s="2060"/>
      <c r="L166" s="2060" t="e">
        <f t="shared" si="121"/>
        <v>#DIV/0!</v>
      </c>
      <c r="M166" s="2060">
        <f t="shared" si="117"/>
        <v>0</v>
      </c>
      <c r="N166" s="3612"/>
      <c r="O166" s="218">
        <f t="shared" si="118"/>
        <v>0</v>
      </c>
    </row>
    <row r="167" spans="1:15" ht="12.95" hidden="1" customHeight="1" x14ac:dyDescent="0.2">
      <c r="A167" s="3228"/>
      <c r="B167" s="2609" t="s">
        <v>3</v>
      </c>
      <c r="C167" s="3307" t="s">
        <v>170</v>
      </c>
      <c r="D167" s="2688">
        <v>0</v>
      </c>
      <c r="E167" s="2689">
        <v>0</v>
      </c>
      <c r="F167" s="2689">
        <v>0</v>
      </c>
      <c r="G167" s="2689">
        <v>0</v>
      </c>
      <c r="H167" s="931">
        <v>0</v>
      </c>
      <c r="I167" s="2690">
        <v>0</v>
      </c>
      <c r="J167" s="2691" t="e">
        <f t="shared" si="124"/>
        <v>#DIV/0!</v>
      </c>
      <c r="K167" s="2691">
        <v>0</v>
      </c>
      <c r="L167" s="2691" t="e">
        <f t="shared" si="121"/>
        <v>#DIV/0!</v>
      </c>
      <c r="M167" s="2689">
        <f t="shared" si="117"/>
        <v>0</v>
      </c>
      <c r="N167" s="3645"/>
      <c r="O167" s="218">
        <f t="shared" si="118"/>
        <v>0</v>
      </c>
    </row>
    <row r="168" spans="1:15" ht="12.95" hidden="1" customHeight="1" x14ac:dyDescent="0.2">
      <c r="A168" s="3644"/>
      <c r="B168" s="2692" t="s">
        <v>4</v>
      </c>
      <c r="C168" s="3646"/>
      <c r="D168" s="2693"/>
      <c r="E168" s="2694"/>
      <c r="F168" s="2694"/>
      <c r="G168" s="2694"/>
      <c r="H168" s="2695"/>
      <c r="I168" s="2696"/>
      <c r="J168" s="2694" t="e">
        <f t="shared" si="124"/>
        <v>#DIV/0!</v>
      </c>
      <c r="K168" s="2697"/>
      <c r="L168" s="2694" t="e">
        <f t="shared" si="121"/>
        <v>#DIV/0!</v>
      </c>
      <c r="M168" s="2694">
        <f t="shared" si="117"/>
        <v>0</v>
      </c>
      <c r="N168" s="3611"/>
      <c r="O168" s="218">
        <f t="shared" si="118"/>
        <v>0</v>
      </c>
    </row>
    <row r="169" spans="1:15" ht="12.95" hidden="1" customHeight="1" x14ac:dyDescent="0.2">
      <c r="A169" s="3227"/>
      <c r="B169" s="2521" t="s">
        <v>7</v>
      </c>
      <c r="C169" s="3446"/>
      <c r="D169" s="2592">
        <v>0</v>
      </c>
      <c r="E169" s="2294">
        <v>0</v>
      </c>
      <c r="F169" s="2294">
        <v>0</v>
      </c>
      <c r="G169" s="2294">
        <v>0</v>
      </c>
      <c r="H169" s="1538">
        <v>0</v>
      </c>
      <c r="I169" s="2698">
        <v>0</v>
      </c>
      <c r="J169" s="2615" t="e">
        <f t="shared" si="124"/>
        <v>#DIV/0!</v>
      </c>
      <c r="K169" s="2294">
        <v>0</v>
      </c>
      <c r="L169" s="2615" t="e">
        <f t="shared" si="121"/>
        <v>#DIV/0!</v>
      </c>
      <c r="M169" s="2294">
        <f t="shared" si="117"/>
        <v>0</v>
      </c>
      <c r="N169" s="3612"/>
      <c r="O169" s="218">
        <f t="shared" si="118"/>
        <v>0</v>
      </c>
    </row>
    <row r="170" spans="1:15" ht="12.95" hidden="1" customHeight="1" x14ac:dyDescent="0.2">
      <c r="A170" s="3227"/>
      <c r="B170" s="2699" t="s">
        <v>12</v>
      </c>
      <c r="C170" s="3446"/>
      <c r="D170" s="2700">
        <v>0</v>
      </c>
      <c r="E170" s="944">
        <v>0</v>
      </c>
      <c r="F170" s="944">
        <v>0</v>
      </c>
      <c r="G170" s="944">
        <v>0</v>
      </c>
      <c r="H170" s="302">
        <v>0</v>
      </c>
      <c r="I170" s="1287">
        <v>0</v>
      </c>
      <c r="J170" s="2701" t="e">
        <f t="shared" si="124"/>
        <v>#DIV/0!</v>
      </c>
      <c r="K170" s="2702">
        <v>0</v>
      </c>
      <c r="L170" s="2701" t="e">
        <f t="shared" si="121"/>
        <v>#DIV/0!</v>
      </c>
      <c r="M170" s="944">
        <f t="shared" si="117"/>
        <v>0</v>
      </c>
      <c r="N170" s="3612"/>
      <c r="O170" s="218">
        <f t="shared" si="118"/>
        <v>0</v>
      </c>
    </row>
    <row r="171" spans="1:15" ht="12.95" hidden="1" customHeight="1" x14ac:dyDescent="0.2">
      <c r="A171" s="3227"/>
      <c r="B171" s="243" t="s">
        <v>14</v>
      </c>
      <c r="C171" s="3102"/>
      <c r="D171" s="2592">
        <v>0</v>
      </c>
      <c r="E171" s="2294">
        <v>0</v>
      </c>
      <c r="F171" s="2294">
        <v>0</v>
      </c>
      <c r="G171" s="2294">
        <v>0</v>
      </c>
      <c r="H171" s="1538">
        <v>0</v>
      </c>
      <c r="I171" s="2617">
        <v>0</v>
      </c>
      <c r="J171" s="2703" t="e">
        <f t="shared" si="124"/>
        <v>#DIV/0!</v>
      </c>
      <c r="K171" s="2294">
        <v>0</v>
      </c>
      <c r="L171" s="2703" t="e">
        <f t="shared" si="121"/>
        <v>#DIV/0!</v>
      </c>
      <c r="M171" s="2294">
        <f t="shared" si="117"/>
        <v>0</v>
      </c>
      <c r="N171" s="3612"/>
      <c r="O171" s="218">
        <f t="shared" si="118"/>
        <v>0</v>
      </c>
    </row>
    <row r="172" spans="1:15" ht="12.95" hidden="1" customHeight="1" x14ac:dyDescent="0.2">
      <c r="A172" s="3227"/>
      <c r="B172" s="220" t="s">
        <v>16</v>
      </c>
      <c r="C172" s="2487"/>
      <c r="D172" s="2686">
        <v>0</v>
      </c>
      <c r="E172" s="2060">
        <v>0</v>
      </c>
      <c r="F172" s="2060">
        <v>0</v>
      </c>
      <c r="G172" s="2060">
        <v>0</v>
      </c>
      <c r="H172" s="2083">
        <v>0</v>
      </c>
      <c r="I172" s="2704">
        <v>0</v>
      </c>
      <c r="J172" s="2060" t="e">
        <f t="shared" si="124"/>
        <v>#DIV/0!</v>
      </c>
      <c r="K172" s="2705">
        <v>0</v>
      </c>
      <c r="L172" s="2060" t="e">
        <f t="shared" si="121"/>
        <v>#DIV/0!</v>
      </c>
      <c r="M172" s="2060">
        <f t="shared" si="117"/>
        <v>0</v>
      </c>
      <c r="N172" s="3612"/>
      <c r="O172" s="218">
        <f t="shared" si="118"/>
        <v>0</v>
      </c>
    </row>
    <row r="173" spans="1:15" ht="12.95" hidden="1" customHeight="1" x14ac:dyDescent="0.2">
      <c r="A173" s="3227"/>
      <c r="B173" s="2586" t="s">
        <v>3</v>
      </c>
      <c r="C173" s="3647" t="s">
        <v>170</v>
      </c>
      <c r="D173" s="2706">
        <v>0</v>
      </c>
      <c r="E173" s="2701">
        <v>0</v>
      </c>
      <c r="F173" s="2701">
        <v>0</v>
      </c>
      <c r="G173" s="2701">
        <v>0</v>
      </c>
      <c r="H173" s="2707">
        <v>0</v>
      </c>
      <c r="I173" s="2708">
        <v>0</v>
      </c>
      <c r="J173" s="2701" t="e">
        <f t="shared" si="124"/>
        <v>#DIV/0!</v>
      </c>
      <c r="K173" s="2701">
        <v>0</v>
      </c>
      <c r="L173" s="2701" t="e">
        <f t="shared" si="121"/>
        <v>#DIV/0!</v>
      </c>
      <c r="M173" s="2701">
        <f t="shared" si="117"/>
        <v>0</v>
      </c>
      <c r="N173" s="3613"/>
      <c r="O173" s="218">
        <f t="shared" si="118"/>
        <v>0</v>
      </c>
    </row>
    <row r="174" spans="1:15" ht="12.95" hidden="1" customHeight="1" x14ac:dyDescent="0.2">
      <c r="A174" s="3644"/>
      <c r="B174" s="2709" t="s">
        <v>7</v>
      </c>
      <c r="C174" s="3648"/>
      <c r="D174" s="2693">
        <v>0</v>
      </c>
      <c r="E174" s="2694">
        <v>0</v>
      </c>
      <c r="F174" s="2694">
        <v>0</v>
      </c>
      <c r="G174" s="2694">
        <v>0</v>
      </c>
      <c r="H174" s="2695">
        <v>0</v>
      </c>
      <c r="I174" s="2696">
        <v>0</v>
      </c>
      <c r="J174" s="2694" t="e">
        <f t="shared" si="124"/>
        <v>#DIV/0!</v>
      </c>
      <c r="K174" s="2694">
        <v>0</v>
      </c>
      <c r="L174" s="2694" t="e">
        <f t="shared" si="121"/>
        <v>#DIV/0!</v>
      </c>
      <c r="M174" s="2694">
        <f t="shared" si="117"/>
        <v>0</v>
      </c>
      <c r="N174" s="3611"/>
      <c r="O174" s="218">
        <f t="shared" si="118"/>
        <v>0</v>
      </c>
    </row>
    <row r="175" spans="1:15" ht="11.25" hidden="1" customHeight="1" x14ac:dyDescent="0.2">
      <c r="A175" s="3227"/>
      <c r="B175" s="296" t="s">
        <v>165</v>
      </c>
      <c r="C175" s="3649"/>
      <c r="D175" s="2592"/>
      <c r="E175" s="2294"/>
      <c r="F175" s="2294"/>
      <c r="G175" s="2294"/>
      <c r="H175" s="1538"/>
      <c r="I175" s="2698"/>
      <c r="J175" s="2615" t="e">
        <f t="shared" si="124"/>
        <v>#DIV/0!</v>
      </c>
      <c r="K175" s="2294"/>
      <c r="L175" s="2615" t="e">
        <f t="shared" si="121"/>
        <v>#DIV/0!</v>
      </c>
      <c r="M175" s="2294">
        <f t="shared" si="117"/>
        <v>0</v>
      </c>
      <c r="N175" s="3612"/>
      <c r="O175" s="218">
        <f t="shared" si="118"/>
        <v>0</v>
      </c>
    </row>
    <row r="176" spans="1:15" ht="12.95" hidden="1" customHeight="1" x14ac:dyDescent="0.2">
      <c r="A176" s="3227"/>
      <c r="B176" s="2699" t="s">
        <v>12</v>
      </c>
      <c r="C176" s="3649"/>
      <c r="D176" s="2700">
        <v>0</v>
      </c>
      <c r="E176" s="944">
        <v>0</v>
      </c>
      <c r="F176" s="944">
        <v>0</v>
      </c>
      <c r="G176" s="944">
        <v>0</v>
      </c>
      <c r="H176" s="302">
        <v>0</v>
      </c>
      <c r="I176" s="1287">
        <v>0</v>
      </c>
      <c r="J176" s="944" t="e">
        <f t="shared" si="124"/>
        <v>#DIV/0!</v>
      </c>
      <c r="K176" s="944">
        <v>0</v>
      </c>
      <c r="L176" s="944" t="e">
        <f t="shared" si="121"/>
        <v>#DIV/0!</v>
      </c>
      <c r="M176" s="944">
        <f t="shared" si="117"/>
        <v>0</v>
      </c>
      <c r="N176" s="3612"/>
      <c r="O176" s="218">
        <f t="shared" si="118"/>
        <v>0</v>
      </c>
    </row>
    <row r="177" spans="1:16" ht="12" hidden="1" customHeight="1" x14ac:dyDescent="0.2">
      <c r="A177" s="3227"/>
      <c r="B177" s="2501" t="s">
        <v>14</v>
      </c>
      <c r="C177" s="3649"/>
      <c r="D177" s="2592">
        <v>0</v>
      </c>
      <c r="E177" s="2294">
        <v>0</v>
      </c>
      <c r="F177" s="2294">
        <v>0</v>
      </c>
      <c r="G177" s="2294">
        <v>0</v>
      </c>
      <c r="H177" s="1538">
        <v>0</v>
      </c>
      <c r="I177" s="2617">
        <v>0</v>
      </c>
      <c r="J177" s="2294" t="e">
        <f t="shared" si="124"/>
        <v>#DIV/0!</v>
      </c>
      <c r="K177" s="2615">
        <v>0</v>
      </c>
      <c r="L177" s="2294" t="e">
        <f t="shared" si="121"/>
        <v>#DIV/0!</v>
      </c>
      <c r="M177" s="2294">
        <f t="shared" si="117"/>
        <v>0</v>
      </c>
      <c r="N177" s="3612"/>
      <c r="O177" s="218">
        <f t="shared" si="118"/>
        <v>0</v>
      </c>
    </row>
    <row r="178" spans="1:16" ht="12.95" hidden="1" customHeight="1" thickBot="1" x14ac:dyDescent="0.25">
      <c r="A178" s="3228"/>
      <c r="B178" s="2522" t="s">
        <v>13</v>
      </c>
      <c r="C178" s="3650"/>
      <c r="D178" s="2710"/>
      <c r="E178" s="1325"/>
      <c r="F178" s="1325"/>
      <c r="G178" s="1325"/>
      <c r="H178" s="1334"/>
      <c r="I178" s="264"/>
      <c r="J178" s="801" t="e">
        <f t="shared" si="124"/>
        <v>#DIV/0!</v>
      </c>
      <c r="K178" s="2711"/>
      <c r="L178" s="801" t="e">
        <f t="shared" si="121"/>
        <v>#DIV/0!</v>
      </c>
      <c r="M178" s="799">
        <f t="shared" si="117"/>
        <v>0</v>
      </c>
      <c r="N178" s="3645"/>
      <c r="O178" s="218">
        <f t="shared" si="118"/>
        <v>0</v>
      </c>
    </row>
    <row r="179" spans="1:16" ht="33.75" hidden="1" customHeight="1" x14ac:dyDescent="0.2">
      <c r="A179" s="3616" t="s">
        <v>40</v>
      </c>
      <c r="B179" s="2712" t="s">
        <v>182</v>
      </c>
      <c r="C179" s="2713"/>
      <c r="D179" s="2714"/>
      <c r="E179" s="2715"/>
      <c r="F179" s="2715"/>
      <c r="G179" s="2715"/>
      <c r="H179" s="2716"/>
      <c r="I179" s="2717"/>
      <c r="J179" s="2718" t="e">
        <f t="shared" si="124"/>
        <v>#DIV/0!</v>
      </c>
      <c r="K179" s="2719"/>
      <c r="L179" s="2718" t="e">
        <f t="shared" si="121"/>
        <v>#DIV/0!</v>
      </c>
      <c r="M179" s="2715">
        <f t="shared" si="117"/>
        <v>0</v>
      </c>
      <c r="N179" s="3620" t="s">
        <v>183</v>
      </c>
      <c r="O179" s="218">
        <f t="shared" si="118"/>
        <v>0</v>
      </c>
    </row>
    <row r="180" spans="1:16" ht="12.95" hidden="1" customHeight="1" x14ac:dyDescent="0.2">
      <c r="A180" s="3634"/>
      <c r="B180" s="2720" t="s">
        <v>2</v>
      </c>
      <c r="C180" s="2721"/>
      <c r="D180" s="2722"/>
      <c r="E180" s="2723"/>
      <c r="F180" s="2723"/>
      <c r="G180" s="2723"/>
      <c r="H180" s="2724"/>
      <c r="I180" s="2725"/>
      <c r="J180" s="2726" t="e">
        <f t="shared" si="124"/>
        <v>#DIV/0!</v>
      </c>
      <c r="K180" s="2723"/>
      <c r="L180" s="2726" t="e">
        <f t="shared" si="121"/>
        <v>#DIV/0!</v>
      </c>
      <c r="M180" s="2723">
        <f t="shared" si="117"/>
        <v>0</v>
      </c>
      <c r="N180" s="3611"/>
      <c r="O180" s="218">
        <f t="shared" si="118"/>
        <v>0</v>
      </c>
    </row>
    <row r="181" spans="1:16" ht="12.95" hidden="1" customHeight="1" x14ac:dyDescent="0.2">
      <c r="A181" s="3635"/>
      <c r="B181" s="2665" t="s">
        <v>3</v>
      </c>
      <c r="C181" s="3641" t="s">
        <v>168</v>
      </c>
      <c r="D181" s="2666"/>
      <c r="E181" s="2667"/>
      <c r="F181" s="2667"/>
      <c r="G181" s="2667"/>
      <c r="H181" s="2668"/>
      <c r="I181" s="2669"/>
      <c r="J181" s="2670" t="e">
        <f t="shared" si="124"/>
        <v>#DIV/0!</v>
      </c>
      <c r="K181" s="2667"/>
      <c r="L181" s="2670" t="e">
        <f t="shared" si="121"/>
        <v>#DIV/0!</v>
      </c>
      <c r="M181" s="2667">
        <f t="shared" si="117"/>
        <v>0</v>
      </c>
      <c r="N181" s="3612"/>
      <c r="O181" s="218">
        <f t="shared" si="118"/>
        <v>0</v>
      </c>
    </row>
    <row r="182" spans="1:16" ht="12.95" hidden="1" customHeight="1" x14ac:dyDescent="0.2">
      <c r="A182" s="3653"/>
      <c r="B182" s="2727" t="s">
        <v>8</v>
      </c>
      <c r="C182" s="3115"/>
      <c r="D182" s="2728"/>
      <c r="E182" s="2729"/>
      <c r="F182" s="2729"/>
      <c r="G182" s="2729"/>
      <c r="H182" s="2730"/>
      <c r="I182" s="2731"/>
      <c r="J182" s="2732" t="e">
        <f t="shared" si="124"/>
        <v>#DIV/0!</v>
      </c>
      <c r="K182" s="2733"/>
      <c r="L182" s="2732" t="e">
        <f t="shared" si="121"/>
        <v>#DIV/0!</v>
      </c>
      <c r="M182" s="2729">
        <f t="shared" si="117"/>
        <v>0</v>
      </c>
      <c r="N182" s="3645"/>
      <c r="O182" s="218">
        <f t="shared" si="118"/>
        <v>0</v>
      </c>
    </row>
    <row r="183" spans="1:16" ht="12.95" hidden="1" customHeight="1" x14ac:dyDescent="0.2">
      <c r="A183" s="3634"/>
      <c r="B183" s="2734" t="s">
        <v>12</v>
      </c>
      <c r="C183" s="3646"/>
      <c r="D183" s="2735"/>
      <c r="E183" s="2736"/>
      <c r="F183" s="2736"/>
      <c r="G183" s="2736"/>
      <c r="H183" s="2737"/>
      <c r="I183" s="2738"/>
      <c r="J183" s="2739" t="e">
        <f t="shared" si="124"/>
        <v>#DIV/0!</v>
      </c>
      <c r="K183" s="2736"/>
      <c r="L183" s="2739" t="e">
        <f t="shared" si="121"/>
        <v>#DIV/0!</v>
      </c>
      <c r="M183" s="2736">
        <f t="shared" si="117"/>
        <v>0</v>
      </c>
      <c r="N183" s="3611"/>
      <c r="O183" s="218">
        <f t="shared" si="118"/>
        <v>0</v>
      </c>
    </row>
    <row r="184" spans="1:16" ht="12.95" hidden="1" customHeight="1" x14ac:dyDescent="0.2">
      <c r="A184" s="3635"/>
      <c r="B184" s="2671" t="s">
        <v>8</v>
      </c>
      <c r="C184" s="3446"/>
      <c r="D184" s="2672"/>
      <c r="E184" s="2673"/>
      <c r="F184" s="2673"/>
      <c r="G184" s="2673"/>
      <c r="H184" s="2674"/>
      <c r="I184" s="2675"/>
      <c r="J184" s="2676" t="e">
        <f t="shared" si="124"/>
        <v>#DIV/0!</v>
      </c>
      <c r="K184" s="2677"/>
      <c r="L184" s="2676" t="e">
        <f t="shared" si="121"/>
        <v>#DIV/0!</v>
      </c>
      <c r="M184" s="2673">
        <f t="shared" si="117"/>
        <v>0</v>
      </c>
      <c r="N184" s="3612"/>
      <c r="O184" s="218">
        <f t="shared" si="118"/>
        <v>0</v>
      </c>
    </row>
    <row r="185" spans="1:16" ht="12.95" hidden="1" customHeight="1" x14ac:dyDescent="0.2">
      <c r="A185" s="3635"/>
      <c r="B185" s="2657" t="s">
        <v>16</v>
      </c>
      <c r="C185" s="2740"/>
      <c r="D185" s="2741"/>
      <c r="E185" s="2742"/>
      <c r="F185" s="2742"/>
      <c r="G185" s="2742"/>
      <c r="H185" s="2743"/>
      <c r="I185" s="2744"/>
      <c r="J185" s="2745" t="e">
        <f t="shared" si="124"/>
        <v>#DIV/0!</v>
      </c>
      <c r="K185" s="2742"/>
      <c r="L185" s="2745" t="e">
        <f t="shared" si="121"/>
        <v>#DIV/0!</v>
      </c>
      <c r="M185" s="2742">
        <f t="shared" si="117"/>
        <v>0</v>
      </c>
      <c r="N185" s="3612"/>
      <c r="O185" s="218">
        <f t="shared" si="118"/>
        <v>0</v>
      </c>
    </row>
    <row r="186" spans="1:16" ht="12.95" hidden="1" customHeight="1" x14ac:dyDescent="0.2">
      <c r="A186" s="3635"/>
      <c r="B186" s="2665" t="s">
        <v>3</v>
      </c>
      <c r="C186" s="3641" t="s">
        <v>168</v>
      </c>
      <c r="D186" s="2666"/>
      <c r="E186" s="2667"/>
      <c r="F186" s="2667"/>
      <c r="G186" s="2667"/>
      <c r="H186" s="2668"/>
      <c r="I186" s="2669"/>
      <c r="J186" s="2670" t="e">
        <f t="shared" si="124"/>
        <v>#DIV/0!</v>
      </c>
      <c r="K186" s="2667"/>
      <c r="L186" s="2670" t="e">
        <f t="shared" si="121"/>
        <v>#DIV/0!</v>
      </c>
      <c r="M186" s="2667">
        <f t="shared" si="117"/>
        <v>0</v>
      </c>
      <c r="N186" s="3612"/>
      <c r="O186" s="218">
        <f t="shared" si="118"/>
        <v>0</v>
      </c>
    </row>
    <row r="187" spans="1:16" ht="12.95" hidden="1" customHeight="1" x14ac:dyDescent="0.2">
      <c r="A187" s="3635"/>
      <c r="B187" s="2671" t="s">
        <v>8</v>
      </c>
      <c r="C187" s="3446"/>
      <c r="D187" s="2672"/>
      <c r="E187" s="2673"/>
      <c r="F187" s="2673"/>
      <c r="G187" s="2673"/>
      <c r="H187" s="2674"/>
      <c r="I187" s="2675"/>
      <c r="J187" s="2676" t="e">
        <f t="shared" si="124"/>
        <v>#DIV/0!</v>
      </c>
      <c r="K187" s="2677"/>
      <c r="L187" s="2676" t="e">
        <f t="shared" si="121"/>
        <v>#DIV/0!</v>
      </c>
      <c r="M187" s="2673">
        <f t="shared" si="117"/>
        <v>0</v>
      </c>
      <c r="N187" s="3612"/>
      <c r="O187" s="218">
        <f t="shared" si="118"/>
        <v>0</v>
      </c>
    </row>
    <row r="188" spans="1:16" ht="12.95" hidden="1" customHeight="1" x14ac:dyDescent="0.2">
      <c r="A188" s="3635"/>
      <c r="B188" s="2746" t="s">
        <v>12</v>
      </c>
      <c r="C188" s="3446"/>
      <c r="D188" s="2666"/>
      <c r="E188" s="2667"/>
      <c r="F188" s="2667"/>
      <c r="G188" s="2667"/>
      <c r="H188" s="2668"/>
      <c r="I188" s="2669"/>
      <c r="J188" s="2670" t="e">
        <f t="shared" si="124"/>
        <v>#DIV/0!</v>
      </c>
      <c r="K188" s="2667"/>
      <c r="L188" s="2670" t="e">
        <f t="shared" si="121"/>
        <v>#DIV/0!</v>
      </c>
      <c r="M188" s="2667">
        <f t="shared" si="117"/>
        <v>0</v>
      </c>
      <c r="N188" s="3612"/>
      <c r="O188" s="218">
        <f t="shared" si="118"/>
        <v>0</v>
      </c>
    </row>
    <row r="189" spans="1:16" ht="12.95" hidden="1" customHeight="1" thickBot="1" x14ac:dyDescent="0.25">
      <c r="A189" s="3654"/>
      <c r="B189" s="2604" t="s">
        <v>8</v>
      </c>
      <c r="C189" s="3102"/>
      <c r="D189" s="2747"/>
      <c r="E189" s="2748"/>
      <c r="F189" s="2748"/>
      <c r="G189" s="2748"/>
      <c r="H189" s="2749"/>
      <c r="I189" s="2750"/>
      <c r="J189" s="2751" t="e">
        <f t="shared" si="124"/>
        <v>#DIV/0!</v>
      </c>
      <c r="K189" s="2752"/>
      <c r="L189" s="2751" t="e">
        <f t="shared" si="121"/>
        <v>#DIV/0!</v>
      </c>
      <c r="M189" s="2748">
        <f t="shared" si="117"/>
        <v>0</v>
      </c>
      <c r="N189" s="3613"/>
      <c r="O189" s="218">
        <f t="shared" si="118"/>
        <v>0</v>
      </c>
    </row>
    <row r="190" spans="1:16" ht="25.5" customHeight="1" x14ac:dyDescent="0.2">
      <c r="A190" s="3624" t="s">
        <v>46</v>
      </c>
      <c r="B190" s="2753" t="s">
        <v>295</v>
      </c>
      <c r="C190" s="2479" t="s">
        <v>171</v>
      </c>
      <c r="D190" s="2480"/>
      <c r="E190" s="2481"/>
      <c r="F190" s="2481"/>
      <c r="G190" s="2481"/>
      <c r="H190" s="2513"/>
      <c r="I190" s="2483"/>
      <c r="J190" s="2484"/>
      <c r="K190" s="2485"/>
      <c r="L190" s="2484"/>
      <c r="M190" s="2481"/>
      <c r="N190" s="3611" t="s">
        <v>184</v>
      </c>
      <c r="O190" s="218">
        <f t="shared" si="118"/>
        <v>0</v>
      </c>
    </row>
    <row r="191" spans="1:16" ht="12.95" customHeight="1" thickBot="1" x14ac:dyDescent="0.25">
      <c r="A191" s="3625"/>
      <c r="B191" s="846" t="s">
        <v>2</v>
      </c>
      <c r="C191" s="2487"/>
      <c r="D191" s="233">
        <f t="shared" ref="D191:F191" si="125">+D192+D195</f>
        <v>37846555.700000003</v>
      </c>
      <c r="E191" s="234">
        <f t="shared" si="125"/>
        <v>21272327.699999999</v>
      </c>
      <c r="F191" s="234">
        <f t="shared" si="125"/>
        <v>6902441</v>
      </c>
      <c r="G191" s="234">
        <f t="shared" ref="G191:H191" si="126">+G192+G195</f>
        <v>8400000</v>
      </c>
      <c r="H191" s="241">
        <f t="shared" si="126"/>
        <v>1271787</v>
      </c>
      <c r="I191" s="233">
        <f t="shared" ref="I191" si="127">+I192+I195</f>
        <v>28800670.699999999</v>
      </c>
      <c r="J191" s="743">
        <f t="shared" ref="J191:J204" si="128">I191/D191*100</f>
        <v>76.098525129461109</v>
      </c>
      <c r="K191" s="234">
        <f>+K192+K195</f>
        <v>1072015</v>
      </c>
      <c r="L191" s="743">
        <f>K191/G191*100</f>
        <v>12.762083333333333</v>
      </c>
      <c r="M191" s="234">
        <f t="shared" si="117"/>
        <v>-7327985</v>
      </c>
      <c r="N191" s="3645"/>
      <c r="O191" s="218">
        <f t="shared" si="118"/>
        <v>446113</v>
      </c>
      <c r="P191" s="2421"/>
    </row>
    <row r="192" spans="1:16" ht="12.95" customHeight="1" x14ac:dyDescent="0.2">
      <c r="A192" s="3624"/>
      <c r="B192" s="2514" t="s">
        <v>3</v>
      </c>
      <c r="C192" s="3208" t="s">
        <v>185</v>
      </c>
      <c r="D192" s="395">
        <f t="shared" ref="D192:F192" si="129">+D193+D194</f>
        <v>10356166.699999999</v>
      </c>
      <c r="E192" s="842">
        <f t="shared" si="129"/>
        <v>5589938.7000000002</v>
      </c>
      <c r="F192" s="842">
        <f t="shared" si="129"/>
        <v>1890781</v>
      </c>
      <c r="G192" s="842">
        <f t="shared" ref="G192:H192" si="130">+G193+G194</f>
        <v>2400000</v>
      </c>
      <c r="H192" s="397">
        <f t="shared" si="130"/>
        <v>475447</v>
      </c>
      <c r="I192" s="395">
        <f t="shared" ref="I192" si="131">+I193+I194</f>
        <v>7619891.7000000002</v>
      </c>
      <c r="J192" s="1174">
        <f t="shared" si="128"/>
        <v>73.578302867604478</v>
      </c>
      <c r="K192" s="842">
        <f>SUM(K193:K194)</f>
        <v>286593</v>
      </c>
      <c r="L192" s="1174">
        <f>K192/G192*100</f>
        <v>11.941375000000001</v>
      </c>
      <c r="M192" s="842">
        <f t="shared" si="117"/>
        <v>-2113407</v>
      </c>
      <c r="N192" s="3611"/>
      <c r="O192" s="218">
        <f t="shared" si="118"/>
        <v>147421</v>
      </c>
    </row>
    <row r="193" spans="1:15" ht="12.95" customHeight="1" x14ac:dyDescent="0.2">
      <c r="A193" s="3655"/>
      <c r="B193" s="243" t="s">
        <v>4</v>
      </c>
      <c r="C193" s="3101"/>
      <c r="D193" s="246">
        <f>+E193+F193+G193+H193</f>
        <v>2749815</v>
      </c>
      <c r="E193" s="779">
        <f>1831572+88015</f>
        <v>1919587</v>
      </c>
      <c r="F193" s="779">
        <v>220228</v>
      </c>
      <c r="G193" s="779">
        <v>400000</v>
      </c>
      <c r="H193" s="247">
        <v>210000</v>
      </c>
      <c r="I193" s="246">
        <f>F193+K193+E193-47860+368</f>
        <v>2117106</v>
      </c>
      <c r="J193" s="780">
        <f t="shared" si="128"/>
        <v>76.990852111869344</v>
      </c>
      <c r="K193" s="779">
        <v>24783</v>
      </c>
      <c r="L193" s="780">
        <f>K193/G193*100</f>
        <v>6.1957500000000003</v>
      </c>
      <c r="M193" s="779">
        <f t="shared" si="117"/>
        <v>-375217</v>
      </c>
      <c r="N193" s="3612"/>
      <c r="O193" s="218">
        <f t="shared" si="118"/>
        <v>47492</v>
      </c>
    </row>
    <row r="194" spans="1:15" ht="12.95" customHeight="1" x14ac:dyDescent="0.2">
      <c r="A194" s="3655"/>
      <c r="B194" s="243" t="s">
        <v>8</v>
      </c>
      <c r="C194" s="3101"/>
      <c r="D194" s="246">
        <f>+E194+F194+G194+H194</f>
        <v>7606351.7000000002</v>
      </c>
      <c r="E194" s="779">
        <f>610857+809032+999407-0.3+1251056</f>
        <v>3670351.7</v>
      </c>
      <c r="F194" s="779">
        <v>1670553</v>
      </c>
      <c r="G194" s="779">
        <v>2000000</v>
      </c>
      <c r="H194" s="247">
        <v>265447</v>
      </c>
      <c r="I194" s="246">
        <f>F194+K194+E194-99929</f>
        <v>5502785.7000000002</v>
      </c>
      <c r="J194" s="780">
        <f t="shared" si="128"/>
        <v>72.344612989693871</v>
      </c>
      <c r="K194" s="779">
        <v>261810</v>
      </c>
      <c r="L194" s="780">
        <f>K194/G194*100</f>
        <v>13.090499999999999</v>
      </c>
      <c r="M194" s="779">
        <f t="shared" si="117"/>
        <v>-1738190</v>
      </c>
      <c r="N194" s="3612"/>
      <c r="O194" s="218">
        <f t="shared" si="118"/>
        <v>99929</v>
      </c>
    </row>
    <row r="195" spans="1:15" ht="12.95" customHeight="1" x14ac:dyDescent="0.2">
      <c r="A195" s="3655"/>
      <c r="B195" s="2514" t="s">
        <v>12</v>
      </c>
      <c r="C195" s="3101"/>
      <c r="D195" s="395">
        <f t="shared" ref="D195:F195" si="132">+D197+D196</f>
        <v>27490389</v>
      </c>
      <c r="E195" s="842">
        <f t="shared" si="132"/>
        <v>15682389</v>
      </c>
      <c r="F195" s="842">
        <f t="shared" si="132"/>
        <v>5011660</v>
      </c>
      <c r="G195" s="842">
        <f t="shared" ref="G195:H195" si="133">+G197+G196</f>
        <v>6000000</v>
      </c>
      <c r="H195" s="397">
        <f t="shared" si="133"/>
        <v>796340</v>
      </c>
      <c r="I195" s="395">
        <f t="shared" ref="I195" si="134">+I197+I196</f>
        <v>21180779</v>
      </c>
      <c r="J195" s="1174">
        <f t="shared" si="128"/>
        <v>77.047942100782933</v>
      </c>
      <c r="K195" s="842">
        <f>+K197</f>
        <v>785422</v>
      </c>
      <c r="L195" s="1174">
        <f>K195/G195*100</f>
        <v>13.090366666666666</v>
      </c>
      <c r="M195" s="842">
        <f t="shared" si="117"/>
        <v>-5214578</v>
      </c>
      <c r="N195" s="3612"/>
      <c r="O195" s="218">
        <f t="shared" si="118"/>
        <v>298692</v>
      </c>
    </row>
    <row r="196" spans="1:15" ht="12" customHeight="1" x14ac:dyDescent="0.2">
      <c r="A196" s="3655"/>
      <c r="B196" s="243" t="s">
        <v>4</v>
      </c>
      <c r="C196" s="3101"/>
      <c r="D196" s="246">
        <f>+E196+F196+G196+H196</f>
        <v>5065795</v>
      </c>
      <c r="E196" s="779">
        <f>5040925+24870</f>
        <v>5065795</v>
      </c>
      <c r="F196" s="250">
        <v>0</v>
      </c>
      <c r="G196" s="250">
        <v>0</v>
      </c>
      <c r="H196" s="782">
        <v>0</v>
      </c>
      <c r="I196" s="246">
        <f>F196+K196+E196+1104</f>
        <v>5066899</v>
      </c>
      <c r="J196" s="780">
        <f t="shared" si="128"/>
        <v>100.02179322297881</v>
      </c>
      <c r="K196" s="250">
        <v>0</v>
      </c>
      <c r="L196" s="250">
        <v>0</v>
      </c>
      <c r="M196" s="779">
        <f t="shared" si="117"/>
        <v>0</v>
      </c>
      <c r="N196" s="3612"/>
      <c r="O196" s="218">
        <f t="shared" si="118"/>
        <v>-1104</v>
      </c>
    </row>
    <row r="197" spans="1:15" ht="12.95" customHeight="1" x14ac:dyDescent="0.2">
      <c r="A197" s="3655"/>
      <c r="B197" s="243" t="s">
        <v>8</v>
      </c>
      <c r="C197" s="3101"/>
      <c r="D197" s="246">
        <f>+E197+F197+G197+H197</f>
        <v>22424594</v>
      </c>
      <c r="E197" s="779">
        <f>1438107+2427053+2998222+3753212</f>
        <v>10616594</v>
      </c>
      <c r="F197" s="779">
        <v>5011660</v>
      </c>
      <c r="G197" s="779">
        <v>6000000</v>
      </c>
      <c r="H197" s="247">
        <v>796340</v>
      </c>
      <c r="I197" s="246">
        <f>F197+K197+E197-299796</f>
        <v>16113880</v>
      </c>
      <c r="J197" s="780">
        <f t="shared" si="128"/>
        <v>71.858067976615317</v>
      </c>
      <c r="K197" s="779">
        <v>785422</v>
      </c>
      <c r="L197" s="780">
        <f>K197/G197*100</f>
        <v>13.090366666666666</v>
      </c>
      <c r="M197" s="779">
        <f t="shared" si="117"/>
        <v>-5214578</v>
      </c>
      <c r="N197" s="3612"/>
      <c r="O197" s="218">
        <f t="shared" si="118"/>
        <v>299796</v>
      </c>
    </row>
    <row r="198" spans="1:15" ht="12" customHeight="1" x14ac:dyDescent="0.2">
      <c r="A198" s="3655"/>
      <c r="B198" s="846" t="s">
        <v>16</v>
      </c>
      <c r="C198" s="2487"/>
      <c r="D198" s="233">
        <f t="shared" ref="D198:F198" si="135">+D199+D202</f>
        <v>36703399.700000003</v>
      </c>
      <c r="E198" s="234">
        <f t="shared" si="135"/>
        <v>20454679.699999999</v>
      </c>
      <c r="F198" s="234">
        <f t="shared" si="135"/>
        <v>7186933</v>
      </c>
      <c r="G198" s="234">
        <f t="shared" ref="G198:H198" si="136">+G199+G202</f>
        <v>8000000</v>
      </c>
      <c r="H198" s="241">
        <f t="shared" si="136"/>
        <v>1061787</v>
      </c>
      <c r="I198" s="233">
        <f t="shared" ref="I198" si="137">+I199+I202</f>
        <v>28845367.699999999</v>
      </c>
      <c r="J198" s="743">
        <f t="shared" si="128"/>
        <v>78.590451935709922</v>
      </c>
      <c r="K198" s="234">
        <f>+K199+K202</f>
        <v>1602008</v>
      </c>
      <c r="L198" s="743">
        <f>K198/G198*100</f>
        <v>20.025100000000002</v>
      </c>
      <c r="M198" s="234">
        <f t="shared" si="117"/>
        <v>-6397992</v>
      </c>
      <c r="N198" s="3612"/>
      <c r="O198" s="218">
        <f t="shared" si="118"/>
        <v>398253</v>
      </c>
    </row>
    <row r="199" spans="1:15" ht="12.95" customHeight="1" x14ac:dyDescent="0.2">
      <c r="A199" s="3655"/>
      <c r="B199" s="2514" t="s">
        <v>3</v>
      </c>
      <c r="C199" s="3208" t="s">
        <v>185</v>
      </c>
      <c r="D199" s="395">
        <f t="shared" ref="D199:F199" si="138">+D200+D201</f>
        <v>9213010.6999999993</v>
      </c>
      <c r="E199" s="842">
        <f t="shared" si="138"/>
        <v>5150830.7</v>
      </c>
      <c r="F199" s="842">
        <f t="shared" si="138"/>
        <v>1796733</v>
      </c>
      <c r="G199" s="842">
        <f t="shared" ref="G199:H199" si="139">+G200+G201</f>
        <v>2000000</v>
      </c>
      <c r="H199" s="397">
        <f t="shared" si="139"/>
        <v>265447</v>
      </c>
      <c r="I199" s="395">
        <f t="shared" ref="I199" si="140">+I200+I201</f>
        <v>7248504.7000000002</v>
      </c>
      <c r="J199" s="1174">
        <f t="shared" si="128"/>
        <v>78.676829280139671</v>
      </c>
      <c r="K199" s="842">
        <f>+K200+K201</f>
        <v>400502</v>
      </c>
      <c r="L199" s="1174">
        <f>K199/G199*100</f>
        <v>20.025100000000002</v>
      </c>
      <c r="M199" s="842">
        <f t="shared" si="117"/>
        <v>-1599498</v>
      </c>
      <c r="N199" s="3612"/>
      <c r="O199" s="218">
        <f t="shared" si="118"/>
        <v>99561</v>
      </c>
    </row>
    <row r="200" spans="1:15" ht="12.95" customHeight="1" x14ac:dyDescent="0.2">
      <c r="A200" s="3655"/>
      <c r="B200" s="243" t="s">
        <v>8</v>
      </c>
      <c r="C200" s="3101"/>
      <c r="D200" s="246">
        <f>+E200+F200+G200+H200</f>
        <v>7606351.7000000002</v>
      </c>
      <c r="E200" s="779">
        <f>610857+809032+999407-0.3+1251056</f>
        <v>3670351.7</v>
      </c>
      <c r="F200" s="779">
        <v>1670553</v>
      </c>
      <c r="G200" s="779">
        <v>2000000</v>
      </c>
      <c r="H200" s="247">
        <v>265447</v>
      </c>
      <c r="I200" s="246">
        <f>F200+K200+E200-99929</f>
        <v>5640975.7000000002</v>
      </c>
      <c r="J200" s="780">
        <f t="shared" si="128"/>
        <v>74.161384096925204</v>
      </c>
      <c r="K200" s="779">
        <v>400000</v>
      </c>
      <c r="L200" s="780">
        <f>K200/G200*100</f>
        <v>20</v>
      </c>
      <c r="M200" s="779">
        <f t="shared" si="117"/>
        <v>-1600000</v>
      </c>
      <c r="N200" s="3612"/>
      <c r="O200" s="218">
        <f t="shared" si="118"/>
        <v>99929</v>
      </c>
    </row>
    <row r="201" spans="1:15" ht="12.95" customHeight="1" x14ac:dyDescent="0.2">
      <c r="A201" s="3655"/>
      <c r="B201" s="243" t="s">
        <v>165</v>
      </c>
      <c r="C201" s="3101"/>
      <c r="D201" s="246">
        <f>+E201+F201+G201+H201</f>
        <v>1606659</v>
      </c>
      <c r="E201" s="779">
        <f>1023666+456813</f>
        <v>1480479</v>
      </c>
      <c r="F201" s="779">
        <v>126180</v>
      </c>
      <c r="G201" s="250">
        <v>0</v>
      </c>
      <c r="H201" s="782">
        <v>0</v>
      </c>
      <c r="I201" s="246">
        <f>F201+K201+E201+368</f>
        <v>1607529</v>
      </c>
      <c r="J201" s="780">
        <f t="shared" si="128"/>
        <v>100.05414963598373</v>
      </c>
      <c r="K201" s="779">
        <v>502</v>
      </c>
      <c r="L201" s="250">
        <v>0</v>
      </c>
      <c r="M201" s="779">
        <f t="shared" si="117"/>
        <v>502</v>
      </c>
      <c r="N201" s="3612"/>
      <c r="O201" s="218">
        <f t="shared" si="118"/>
        <v>-368</v>
      </c>
    </row>
    <row r="202" spans="1:15" ht="12.95" customHeight="1" x14ac:dyDescent="0.2">
      <c r="A202" s="3655"/>
      <c r="B202" s="2514" t="s">
        <v>12</v>
      </c>
      <c r="C202" s="3101"/>
      <c r="D202" s="395">
        <f t="shared" ref="D202:F202" si="141">+D203+D204</f>
        <v>27490389</v>
      </c>
      <c r="E202" s="842">
        <f t="shared" si="141"/>
        <v>15303849</v>
      </c>
      <c r="F202" s="842">
        <f t="shared" si="141"/>
        <v>5390200</v>
      </c>
      <c r="G202" s="842">
        <f t="shared" ref="G202:H202" si="142">+G203+G204</f>
        <v>6000000</v>
      </c>
      <c r="H202" s="397">
        <f t="shared" si="142"/>
        <v>796340</v>
      </c>
      <c r="I202" s="395">
        <f t="shared" ref="I202" si="143">+I203+I204</f>
        <v>21596863</v>
      </c>
      <c r="J202" s="1174">
        <f t="shared" si="128"/>
        <v>78.561503804111325</v>
      </c>
      <c r="K202" s="842">
        <f>+K203+K204</f>
        <v>1201506</v>
      </c>
      <c r="L202" s="1174">
        <f>K202/G202*100</f>
        <v>20.025100000000002</v>
      </c>
      <c r="M202" s="842">
        <f t="shared" si="117"/>
        <v>-4798494</v>
      </c>
      <c r="N202" s="3612"/>
      <c r="O202" s="218">
        <f t="shared" si="118"/>
        <v>298692</v>
      </c>
    </row>
    <row r="203" spans="1:15" ht="12.95" customHeight="1" thickBot="1" x14ac:dyDescent="0.25">
      <c r="A203" s="3625"/>
      <c r="B203" s="243" t="s">
        <v>8</v>
      </c>
      <c r="C203" s="3101"/>
      <c r="D203" s="246">
        <f>+E203+F203+G203+H203</f>
        <v>22424594</v>
      </c>
      <c r="E203" s="779">
        <f>1438107+2427053+2998222+3753212</f>
        <v>10616594</v>
      </c>
      <c r="F203" s="779">
        <v>5011660</v>
      </c>
      <c r="G203" s="779">
        <v>6000000</v>
      </c>
      <c r="H203" s="247">
        <v>796340</v>
      </c>
      <c r="I203" s="246">
        <f>F203+K203+E203-299796</f>
        <v>16528458</v>
      </c>
      <c r="J203" s="780">
        <f t="shared" si="128"/>
        <v>73.706832774765061</v>
      </c>
      <c r="K203" s="779">
        <v>1200000</v>
      </c>
      <c r="L203" s="780">
        <f>K203/G203*100</f>
        <v>20</v>
      </c>
      <c r="M203" s="779">
        <f t="shared" ref="M203:M228" si="144">+K203-G203</f>
        <v>-4800000</v>
      </c>
      <c r="N203" s="3645"/>
      <c r="O203" s="218">
        <f t="shared" ref="O203:O250" si="145">E203+F203+K203-I203</f>
        <v>299796</v>
      </c>
    </row>
    <row r="204" spans="1:15" ht="12.95" customHeight="1" thickBot="1" x14ac:dyDescent="0.25">
      <c r="A204" s="3625"/>
      <c r="B204" s="296" t="s">
        <v>13</v>
      </c>
      <c r="C204" s="3186"/>
      <c r="D204" s="2754">
        <f>+E204+F204+G204+H204</f>
        <v>5065795</v>
      </c>
      <c r="E204" s="894">
        <f>1352428+9176+1955212+1370439</f>
        <v>4687255</v>
      </c>
      <c r="F204" s="894">
        <v>378540</v>
      </c>
      <c r="G204" s="2755">
        <v>0</v>
      </c>
      <c r="H204" s="898">
        <v>0</v>
      </c>
      <c r="I204" s="2754">
        <f>F204+K204+E204+1104</f>
        <v>5068405</v>
      </c>
      <c r="J204" s="897">
        <f t="shared" si="128"/>
        <v>100.05152202171624</v>
      </c>
      <c r="K204" s="894">
        <v>1506</v>
      </c>
      <c r="L204" s="2755">
        <v>0</v>
      </c>
      <c r="M204" s="894">
        <f t="shared" si="144"/>
        <v>1506</v>
      </c>
      <c r="N204" s="3645"/>
      <c r="O204" s="218">
        <f t="shared" si="145"/>
        <v>-1104</v>
      </c>
    </row>
    <row r="205" spans="1:15" ht="27" customHeight="1" x14ac:dyDescent="0.2">
      <c r="A205" s="3609" t="s">
        <v>48</v>
      </c>
      <c r="B205" s="2511" t="s">
        <v>362</v>
      </c>
      <c r="C205" s="2479" t="s">
        <v>166</v>
      </c>
      <c r="D205" s="2480"/>
      <c r="E205" s="2481"/>
      <c r="F205" s="2481"/>
      <c r="G205" s="2481"/>
      <c r="H205" s="2513"/>
      <c r="I205" s="2483"/>
      <c r="J205" s="2484"/>
      <c r="K205" s="2485"/>
      <c r="L205" s="2484"/>
      <c r="M205" s="2481"/>
      <c r="N205" s="3611" t="s">
        <v>184</v>
      </c>
      <c r="O205" s="218">
        <f t="shared" si="145"/>
        <v>0</v>
      </c>
    </row>
    <row r="206" spans="1:15" ht="12" customHeight="1" x14ac:dyDescent="0.2">
      <c r="A206" s="3610"/>
      <c r="B206" s="846" t="s">
        <v>2</v>
      </c>
      <c r="C206" s="2487"/>
      <c r="D206" s="233">
        <f t="shared" ref="D206:H206" si="146">+D207+D210</f>
        <v>88166</v>
      </c>
      <c r="E206" s="234">
        <f t="shared" si="146"/>
        <v>78966</v>
      </c>
      <c r="F206" s="234">
        <f t="shared" ref="F206" si="147">+F207+F210</f>
        <v>9200</v>
      </c>
      <c r="G206" s="287">
        <f t="shared" si="146"/>
        <v>0</v>
      </c>
      <c r="H206" s="241">
        <f t="shared" si="146"/>
        <v>0</v>
      </c>
      <c r="I206" s="233">
        <f t="shared" ref="I206" si="148">+I207+I210</f>
        <v>78966</v>
      </c>
      <c r="J206" s="743">
        <f>I206/D206*100</f>
        <v>89.565138488759843</v>
      </c>
      <c r="K206" s="287">
        <f>+K207+K210</f>
        <v>0</v>
      </c>
      <c r="L206" s="287">
        <v>0</v>
      </c>
      <c r="M206" s="234">
        <f t="shared" si="144"/>
        <v>0</v>
      </c>
      <c r="N206" s="3612"/>
      <c r="O206" s="218">
        <f t="shared" si="145"/>
        <v>9200</v>
      </c>
    </row>
    <row r="207" spans="1:15" ht="12.75" x14ac:dyDescent="0.2">
      <c r="A207" s="3610"/>
      <c r="B207" s="2514" t="s">
        <v>3</v>
      </c>
      <c r="C207" s="3208" t="s">
        <v>185</v>
      </c>
      <c r="D207" s="277">
        <f t="shared" ref="D207:H207" si="149">+D208+D209</f>
        <v>39621</v>
      </c>
      <c r="E207" s="278">
        <f t="shared" si="149"/>
        <v>30421</v>
      </c>
      <c r="F207" s="278">
        <f t="shared" ref="F207" si="150">+F208+F209</f>
        <v>9200</v>
      </c>
      <c r="G207" s="284">
        <f t="shared" si="149"/>
        <v>0</v>
      </c>
      <c r="H207" s="288">
        <f t="shared" si="149"/>
        <v>0</v>
      </c>
      <c r="I207" s="277">
        <f t="shared" ref="I207" si="151">+I208+I209</f>
        <v>30421</v>
      </c>
      <c r="J207" s="144">
        <f>I207/D207*100</f>
        <v>76.779990409126469</v>
      </c>
      <c r="K207" s="289">
        <f>SUM(K208:K209)</f>
        <v>0</v>
      </c>
      <c r="L207" s="944">
        <v>0</v>
      </c>
      <c r="M207" s="278">
        <f t="shared" si="144"/>
        <v>0</v>
      </c>
      <c r="N207" s="3612"/>
      <c r="O207" s="218">
        <f t="shared" si="145"/>
        <v>9200</v>
      </c>
    </row>
    <row r="208" spans="1:15" ht="12" customHeight="1" x14ac:dyDescent="0.2">
      <c r="A208" s="3610"/>
      <c r="B208" s="243" t="s">
        <v>4</v>
      </c>
      <c r="C208" s="3101"/>
      <c r="D208" s="246">
        <f>+E208+F208+G208+H208</f>
        <v>23440</v>
      </c>
      <c r="E208" s="779">
        <v>14240</v>
      </c>
      <c r="F208" s="779">
        <v>9200</v>
      </c>
      <c r="G208" s="250">
        <v>0</v>
      </c>
      <c r="H208" s="247">
        <v>0</v>
      </c>
      <c r="I208" s="246">
        <f>F208+K208+E208-9200</f>
        <v>14240</v>
      </c>
      <c r="J208" s="780">
        <f>I208/D208*100</f>
        <v>60.750853242320822</v>
      </c>
      <c r="K208" s="250">
        <v>0</v>
      </c>
      <c r="L208" s="250">
        <v>0</v>
      </c>
      <c r="M208" s="779">
        <f t="shared" si="144"/>
        <v>0</v>
      </c>
      <c r="N208" s="3612"/>
      <c r="O208" s="218">
        <f t="shared" si="145"/>
        <v>9200</v>
      </c>
    </row>
    <row r="209" spans="1:15" ht="12" customHeight="1" x14ac:dyDescent="0.2">
      <c r="A209" s="3610"/>
      <c r="B209" s="243" t="s">
        <v>8</v>
      </c>
      <c r="C209" s="3101"/>
      <c r="D209" s="246">
        <f>+E209+F209+G209+H209</f>
        <v>16181</v>
      </c>
      <c r="E209" s="779">
        <v>16181</v>
      </c>
      <c r="F209" s="250">
        <v>0</v>
      </c>
      <c r="G209" s="250">
        <v>0</v>
      </c>
      <c r="H209" s="782">
        <v>0</v>
      </c>
      <c r="I209" s="246">
        <f>F209+K209+E209</f>
        <v>16181</v>
      </c>
      <c r="J209" s="780">
        <f>I209/D209*100</f>
        <v>100</v>
      </c>
      <c r="K209" s="250">
        <v>0</v>
      </c>
      <c r="L209" s="250">
        <v>0</v>
      </c>
      <c r="M209" s="250">
        <f t="shared" si="144"/>
        <v>0</v>
      </c>
      <c r="N209" s="3612"/>
      <c r="O209" s="218">
        <f t="shared" si="145"/>
        <v>0</v>
      </c>
    </row>
    <row r="210" spans="1:15" ht="12.75" x14ac:dyDescent="0.2">
      <c r="A210" s="3610"/>
      <c r="B210" s="2514" t="s">
        <v>12</v>
      </c>
      <c r="C210" s="3101"/>
      <c r="D210" s="277">
        <f t="shared" ref="D210:H210" si="152">+D212+D211</f>
        <v>48545</v>
      </c>
      <c r="E210" s="278">
        <f t="shared" si="152"/>
        <v>48545</v>
      </c>
      <c r="F210" s="284">
        <f t="shared" si="152"/>
        <v>0</v>
      </c>
      <c r="G210" s="284">
        <f t="shared" si="152"/>
        <v>0</v>
      </c>
      <c r="H210" s="934">
        <f t="shared" si="152"/>
        <v>0</v>
      </c>
      <c r="I210" s="277">
        <f t="shared" ref="I210" si="153">+I212+I211</f>
        <v>48545</v>
      </c>
      <c r="J210" s="144">
        <f>I210/D210*100</f>
        <v>100</v>
      </c>
      <c r="K210" s="284">
        <f>+K212</f>
        <v>0</v>
      </c>
      <c r="L210" s="944">
        <v>0</v>
      </c>
      <c r="M210" s="284">
        <f t="shared" si="144"/>
        <v>0</v>
      </c>
      <c r="N210" s="3612"/>
      <c r="O210" s="218">
        <f t="shared" si="145"/>
        <v>0</v>
      </c>
    </row>
    <row r="211" spans="1:15" ht="8.25" hidden="1" customHeight="1" x14ac:dyDescent="0.2">
      <c r="A211" s="3610"/>
      <c r="B211" s="243" t="s">
        <v>4</v>
      </c>
      <c r="C211" s="3101"/>
      <c r="D211" s="2556">
        <f>+E211+F211+G211+H211</f>
        <v>0</v>
      </c>
      <c r="E211" s="2516"/>
      <c r="F211" s="2517">
        <v>0</v>
      </c>
      <c r="G211" s="2517">
        <v>0</v>
      </c>
      <c r="H211" s="2517">
        <v>0</v>
      </c>
      <c r="I211" s="2569"/>
      <c r="J211" s="144"/>
      <c r="K211" s="2294">
        <v>0</v>
      </c>
      <c r="L211" s="944"/>
      <c r="M211" s="2491">
        <f t="shared" si="144"/>
        <v>0</v>
      </c>
      <c r="N211" s="3612"/>
      <c r="O211" s="218">
        <f t="shared" si="145"/>
        <v>0</v>
      </c>
    </row>
    <row r="212" spans="1:15" ht="12.75" customHeight="1" x14ac:dyDescent="0.2">
      <c r="A212" s="3610"/>
      <c r="B212" s="243" t="s">
        <v>8</v>
      </c>
      <c r="C212" s="3101"/>
      <c r="D212" s="246">
        <f>+E212+F212+G212+H212</f>
        <v>48545</v>
      </c>
      <c r="E212" s="779">
        <v>48545</v>
      </c>
      <c r="F212" s="250">
        <v>0</v>
      </c>
      <c r="G212" s="250">
        <v>0</v>
      </c>
      <c r="H212" s="782">
        <v>0</v>
      </c>
      <c r="I212" s="246">
        <f>F212+K212+E212</f>
        <v>48545</v>
      </c>
      <c r="J212" s="780">
        <f>I212/D212*100</f>
        <v>100</v>
      </c>
      <c r="K212" s="250">
        <v>0</v>
      </c>
      <c r="L212" s="250">
        <v>0</v>
      </c>
      <c r="M212" s="250">
        <f t="shared" si="144"/>
        <v>0</v>
      </c>
      <c r="N212" s="3612"/>
      <c r="O212" s="218">
        <f t="shared" si="145"/>
        <v>0</v>
      </c>
    </row>
    <row r="213" spans="1:15" ht="11.25" customHeight="1" x14ac:dyDescent="0.2">
      <c r="A213" s="3610"/>
      <c r="B213" s="846" t="s">
        <v>16</v>
      </c>
      <c r="C213" s="2487"/>
      <c r="D213" s="233">
        <f t="shared" ref="D213:H213" si="154">+D214+D217</f>
        <v>64726</v>
      </c>
      <c r="E213" s="234">
        <f t="shared" si="154"/>
        <v>64726</v>
      </c>
      <c r="F213" s="287">
        <f t="shared" si="154"/>
        <v>0</v>
      </c>
      <c r="G213" s="287">
        <f t="shared" si="154"/>
        <v>0</v>
      </c>
      <c r="H213" s="824">
        <f t="shared" si="154"/>
        <v>0</v>
      </c>
      <c r="I213" s="233">
        <f t="shared" ref="I213" si="155">+I214+I217</f>
        <v>64726</v>
      </c>
      <c r="J213" s="743">
        <f>I213/D213*100</f>
        <v>100</v>
      </c>
      <c r="K213" s="287">
        <f>+K214+K217</f>
        <v>0</v>
      </c>
      <c r="L213" s="287">
        <v>0</v>
      </c>
      <c r="M213" s="287">
        <f t="shared" si="144"/>
        <v>0</v>
      </c>
      <c r="N213" s="3612"/>
      <c r="O213" s="218">
        <f t="shared" si="145"/>
        <v>0</v>
      </c>
    </row>
    <row r="214" spans="1:15" ht="12" customHeight="1" x14ac:dyDescent="0.2">
      <c r="A214" s="3610"/>
      <c r="B214" s="2514" t="s">
        <v>3</v>
      </c>
      <c r="C214" s="3208" t="s">
        <v>185</v>
      </c>
      <c r="D214" s="277">
        <f t="shared" ref="D214:H214" si="156">+D215+D216</f>
        <v>16181</v>
      </c>
      <c r="E214" s="278">
        <f t="shared" si="156"/>
        <v>16181</v>
      </c>
      <c r="F214" s="284">
        <f t="shared" si="156"/>
        <v>0</v>
      </c>
      <c r="G214" s="284">
        <f t="shared" si="156"/>
        <v>0</v>
      </c>
      <c r="H214" s="934">
        <f t="shared" si="156"/>
        <v>0</v>
      </c>
      <c r="I214" s="277">
        <f t="shared" ref="I214" si="157">+I215+I216</f>
        <v>16181</v>
      </c>
      <c r="J214" s="144">
        <f>I214/D214*100</f>
        <v>100</v>
      </c>
      <c r="K214" s="284">
        <f>+K215+K216</f>
        <v>0</v>
      </c>
      <c r="L214" s="944">
        <v>0</v>
      </c>
      <c r="M214" s="284">
        <f t="shared" si="144"/>
        <v>0</v>
      </c>
      <c r="N214" s="3612"/>
      <c r="O214" s="218">
        <f t="shared" si="145"/>
        <v>0</v>
      </c>
    </row>
    <row r="215" spans="1:15" ht="12" customHeight="1" x14ac:dyDescent="0.2">
      <c r="A215" s="3610"/>
      <c r="B215" s="243" t="s">
        <v>8</v>
      </c>
      <c r="C215" s="3101"/>
      <c r="D215" s="246">
        <f>+E215+F215+G215+H215</f>
        <v>16181</v>
      </c>
      <c r="E215" s="779">
        <v>16181</v>
      </c>
      <c r="F215" s="250">
        <v>0</v>
      </c>
      <c r="G215" s="250">
        <v>0</v>
      </c>
      <c r="H215" s="782">
        <v>0</v>
      </c>
      <c r="I215" s="246">
        <f>F215+K215+E215</f>
        <v>16181</v>
      </c>
      <c r="J215" s="780">
        <f>I215/D215*100</f>
        <v>100</v>
      </c>
      <c r="K215" s="250">
        <v>0</v>
      </c>
      <c r="L215" s="250">
        <v>0</v>
      </c>
      <c r="M215" s="250">
        <f t="shared" si="144"/>
        <v>0</v>
      </c>
      <c r="N215" s="3613"/>
      <c r="O215" s="218">
        <f t="shared" si="145"/>
        <v>0</v>
      </c>
    </row>
    <row r="216" spans="1:15" ht="12" hidden="1" customHeight="1" x14ac:dyDescent="0.2">
      <c r="A216" s="3609"/>
      <c r="B216" s="243" t="s">
        <v>165</v>
      </c>
      <c r="C216" s="3101"/>
      <c r="D216" s="2556">
        <f>+E216+F216+G216+H216</f>
        <v>0</v>
      </c>
      <c r="E216" s="2516"/>
      <c r="F216" s="2517"/>
      <c r="G216" s="2517"/>
      <c r="H216" s="1538">
        <v>0</v>
      </c>
      <c r="I216" s="2569"/>
      <c r="J216" s="2570"/>
      <c r="K216" s="2517"/>
      <c r="L216" s="2294" t="e">
        <f t="shared" ref="L216" si="158">K216/G216*100</f>
        <v>#DIV/0!</v>
      </c>
      <c r="M216" s="2294">
        <f t="shared" si="144"/>
        <v>0</v>
      </c>
      <c r="N216" s="3611"/>
      <c r="O216" s="218">
        <f t="shared" si="145"/>
        <v>0</v>
      </c>
    </row>
    <row r="217" spans="1:15" ht="12" customHeight="1" x14ac:dyDescent="0.2">
      <c r="A217" s="3610"/>
      <c r="B217" s="2514" t="s">
        <v>12</v>
      </c>
      <c r="C217" s="3101"/>
      <c r="D217" s="277">
        <f t="shared" ref="D217:H217" si="159">+D218+D219</f>
        <v>48545</v>
      </c>
      <c r="E217" s="278">
        <f t="shared" si="159"/>
        <v>48545</v>
      </c>
      <c r="F217" s="284">
        <f t="shared" si="159"/>
        <v>0</v>
      </c>
      <c r="G217" s="284">
        <f t="shared" si="159"/>
        <v>0</v>
      </c>
      <c r="H217" s="934">
        <f t="shared" si="159"/>
        <v>0</v>
      </c>
      <c r="I217" s="277">
        <f t="shared" ref="I217" si="160">+I218+I219</f>
        <v>48545</v>
      </c>
      <c r="J217" s="144">
        <f>I217/D217*100</f>
        <v>100</v>
      </c>
      <c r="K217" s="284">
        <f>+K218+K219</f>
        <v>0</v>
      </c>
      <c r="L217" s="944">
        <v>0</v>
      </c>
      <c r="M217" s="284">
        <f t="shared" si="144"/>
        <v>0</v>
      </c>
      <c r="N217" s="3612"/>
      <c r="O217" s="218">
        <f t="shared" si="145"/>
        <v>0</v>
      </c>
    </row>
    <row r="218" spans="1:15" ht="13.5" thickBot="1" x14ac:dyDescent="0.25">
      <c r="A218" s="3610"/>
      <c r="B218" s="243" t="s">
        <v>8</v>
      </c>
      <c r="C218" s="3101"/>
      <c r="D218" s="246">
        <f>+E218+F218+G218+H218</f>
        <v>48545</v>
      </c>
      <c r="E218" s="779">
        <v>48545</v>
      </c>
      <c r="F218" s="250">
        <v>0</v>
      </c>
      <c r="G218" s="250">
        <v>0</v>
      </c>
      <c r="H218" s="782">
        <v>0</v>
      </c>
      <c r="I218" s="246">
        <f>F218+K218+E218</f>
        <v>48545</v>
      </c>
      <c r="J218" s="780">
        <f>I218/D218*100</f>
        <v>100</v>
      </c>
      <c r="K218" s="250">
        <v>0</v>
      </c>
      <c r="L218" s="250">
        <v>0</v>
      </c>
      <c r="M218" s="250">
        <f t="shared" si="144"/>
        <v>0</v>
      </c>
      <c r="N218" s="3612"/>
      <c r="O218" s="218">
        <f t="shared" si="145"/>
        <v>0</v>
      </c>
    </row>
    <row r="219" spans="1:15" ht="9" hidden="1" customHeight="1" thickBot="1" x14ac:dyDescent="0.25">
      <c r="A219" s="3610"/>
      <c r="B219" s="296" t="s">
        <v>13</v>
      </c>
      <c r="C219" s="3186"/>
      <c r="D219" s="2756">
        <f>+E219+F219+G219+H219</f>
        <v>0</v>
      </c>
      <c r="E219" s="2757"/>
      <c r="F219" s="2757"/>
      <c r="G219" s="2757"/>
      <c r="H219" s="2758">
        <v>0</v>
      </c>
      <c r="I219" s="2759"/>
      <c r="J219" s="2760"/>
      <c r="K219" s="2757"/>
      <c r="L219" s="2761"/>
      <c r="M219" s="2757">
        <f t="shared" si="144"/>
        <v>0</v>
      </c>
      <c r="N219" s="3613"/>
      <c r="O219" s="218">
        <f t="shared" si="145"/>
        <v>0</v>
      </c>
    </row>
    <row r="220" spans="1:15" ht="39" customHeight="1" x14ac:dyDescent="0.2">
      <c r="A220" s="3614" t="s">
        <v>50</v>
      </c>
      <c r="B220" s="2478" t="s">
        <v>186</v>
      </c>
      <c r="C220" s="2762" t="s">
        <v>171</v>
      </c>
      <c r="D220" s="2480"/>
      <c r="E220" s="2481"/>
      <c r="F220" s="2481"/>
      <c r="G220" s="2481"/>
      <c r="H220" s="2513"/>
      <c r="I220" s="2483"/>
      <c r="J220" s="2484"/>
      <c r="K220" s="2485"/>
      <c r="L220" s="2484"/>
      <c r="M220" s="2481"/>
      <c r="N220" s="3618" t="s">
        <v>175</v>
      </c>
      <c r="O220" s="218">
        <f t="shared" si="145"/>
        <v>0</v>
      </c>
    </row>
    <row r="221" spans="1:15" ht="13.5" customHeight="1" x14ac:dyDescent="0.2">
      <c r="A221" s="3615"/>
      <c r="B221" s="1328" t="s">
        <v>2</v>
      </c>
      <c r="C221" s="2487"/>
      <c r="D221" s="233">
        <f t="shared" ref="D221:H221" si="161">D222+D224</f>
        <v>17418</v>
      </c>
      <c r="E221" s="234">
        <f t="shared" si="161"/>
        <v>13795</v>
      </c>
      <c r="F221" s="234">
        <f t="shared" ref="F221" si="162">F222+F224</f>
        <v>3623</v>
      </c>
      <c r="G221" s="287">
        <f t="shared" si="161"/>
        <v>0</v>
      </c>
      <c r="H221" s="824">
        <f t="shared" si="161"/>
        <v>0</v>
      </c>
      <c r="I221" s="233">
        <f t="shared" ref="I221" si="163">I222+I224</f>
        <v>17283</v>
      </c>
      <c r="J221" s="743">
        <f t="shared" ref="J221:J228" si="164">I221/D221*100</f>
        <v>99.224939717533587</v>
      </c>
      <c r="K221" s="287">
        <f>K222+K224</f>
        <v>0</v>
      </c>
      <c r="L221" s="287">
        <f>L222+L224</f>
        <v>0</v>
      </c>
      <c r="M221" s="234">
        <f t="shared" si="144"/>
        <v>0</v>
      </c>
      <c r="N221" s="3619"/>
      <c r="O221" s="218">
        <f t="shared" si="145"/>
        <v>135</v>
      </c>
    </row>
    <row r="222" spans="1:15" ht="12.95" customHeight="1" x14ac:dyDescent="0.2">
      <c r="A222" s="3615"/>
      <c r="B222" s="1319" t="s">
        <v>3</v>
      </c>
      <c r="C222" s="3621" t="s">
        <v>187</v>
      </c>
      <c r="D222" s="395">
        <f t="shared" ref="D222:L222" si="165">D223</f>
        <v>2612</v>
      </c>
      <c r="E222" s="842">
        <f t="shared" si="165"/>
        <v>2069</v>
      </c>
      <c r="F222" s="842">
        <f t="shared" si="165"/>
        <v>543</v>
      </c>
      <c r="G222" s="289">
        <f t="shared" si="165"/>
        <v>0</v>
      </c>
      <c r="H222" s="2763">
        <f t="shared" si="165"/>
        <v>0</v>
      </c>
      <c r="I222" s="395">
        <f t="shared" si="165"/>
        <v>2592</v>
      </c>
      <c r="J222" s="1174">
        <f t="shared" si="164"/>
        <v>99.234303215926488</v>
      </c>
      <c r="K222" s="289">
        <f t="shared" si="165"/>
        <v>0</v>
      </c>
      <c r="L222" s="2764">
        <f t="shared" si="165"/>
        <v>0</v>
      </c>
      <c r="M222" s="842">
        <f t="shared" si="144"/>
        <v>0</v>
      </c>
      <c r="N222" s="3619"/>
      <c r="O222" s="218">
        <f t="shared" si="145"/>
        <v>20</v>
      </c>
    </row>
    <row r="223" spans="1:15" ht="12.95" customHeight="1" x14ac:dyDescent="0.2">
      <c r="A223" s="3615"/>
      <c r="B223" s="793" t="s">
        <v>4</v>
      </c>
      <c r="C223" s="3622"/>
      <c r="D223" s="246">
        <f>+E223+F223+G223+H223</f>
        <v>2612</v>
      </c>
      <c r="E223" s="779">
        <f>1641+428</f>
        <v>2069</v>
      </c>
      <c r="F223" s="779">
        <v>543</v>
      </c>
      <c r="G223" s="250">
        <v>0</v>
      </c>
      <c r="H223" s="782">
        <v>0</v>
      </c>
      <c r="I223" s="246">
        <f>F223+K223+E223-20</f>
        <v>2592</v>
      </c>
      <c r="J223" s="780">
        <f t="shared" si="164"/>
        <v>99.234303215926488</v>
      </c>
      <c r="K223" s="250">
        <v>0</v>
      </c>
      <c r="L223" s="250">
        <v>0</v>
      </c>
      <c r="M223" s="779">
        <f t="shared" si="144"/>
        <v>0</v>
      </c>
      <c r="N223" s="3619"/>
      <c r="O223" s="218">
        <f t="shared" si="145"/>
        <v>20</v>
      </c>
    </row>
    <row r="224" spans="1:15" ht="12.75" customHeight="1" thickBot="1" x14ac:dyDescent="0.25">
      <c r="A224" s="3616"/>
      <c r="B224" s="2765" t="s">
        <v>12</v>
      </c>
      <c r="C224" s="3622"/>
      <c r="D224" s="395">
        <f t="shared" ref="D224:L224" si="166">D225</f>
        <v>14806</v>
      </c>
      <c r="E224" s="842">
        <f t="shared" si="166"/>
        <v>11726</v>
      </c>
      <c r="F224" s="842">
        <f t="shared" si="166"/>
        <v>3080</v>
      </c>
      <c r="G224" s="289">
        <f t="shared" si="166"/>
        <v>0</v>
      </c>
      <c r="H224" s="2763">
        <f t="shared" si="166"/>
        <v>0</v>
      </c>
      <c r="I224" s="395">
        <f t="shared" si="166"/>
        <v>14691</v>
      </c>
      <c r="J224" s="1174">
        <f t="shared" si="164"/>
        <v>99.223287856274482</v>
      </c>
      <c r="K224" s="289">
        <f t="shared" si="166"/>
        <v>0</v>
      </c>
      <c r="L224" s="289">
        <f t="shared" si="166"/>
        <v>0</v>
      </c>
      <c r="M224" s="842">
        <f t="shared" si="144"/>
        <v>0</v>
      </c>
      <c r="N224" s="3620"/>
      <c r="O224" s="218">
        <f t="shared" si="145"/>
        <v>115</v>
      </c>
    </row>
    <row r="225" spans="1:66" ht="12" customHeight="1" x14ac:dyDescent="0.2">
      <c r="A225" s="3617"/>
      <c r="B225" s="793" t="s">
        <v>14</v>
      </c>
      <c r="C225" s="3622"/>
      <c r="D225" s="246">
        <f>+E225+F225+G225+H225</f>
        <v>14806</v>
      </c>
      <c r="E225" s="779">
        <f>9302+2424</f>
        <v>11726</v>
      </c>
      <c r="F225" s="779">
        <v>3080</v>
      </c>
      <c r="G225" s="250">
        <v>0</v>
      </c>
      <c r="H225" s="782">
        <v>0</v>
      </c>
      <c r="I225" s="246">
        <f>F225+K225+E225-115</f>
        <v>14691</v>
      </c>
      <c r="J225" s="780">
        <f t="shared" si="164"/>
        <v>99.223287856274482</v>
      </c>
      <c r="K225" s="250">
        <v>0</v>
      </c>
      <c r="L225" s="250">
        <v>0</v>
      </c>
      <c r="M225" s="779">
        <f t="shared" si="144"/>
        <v>0</v>
      </c>
      <c r="N225" s="3618"/>
      <c r="O225" s="218">
        <f t="shared" si="145"/>
        <v>115</v>
      </c>
    </row>
    <row r="226" spans="1:66" ht="12.75" customHeight="1" x14ac:dyDescent="0.2">
      <c r="A226" s="3615"/>
      <c r="B226" s="1328" t="s">
        <v>16</v>
      </c>
      <c r="C226" s="2487"/>
      <c r="D226" s="233">
        <f t="shared" ref="D226:K227" si="167">D227</f>
        <v>14806</v>
      </c>
      <c r="E226" s="234">
        <f t="shared" si="167"/>
        <v>9302</v>
      </c>
      <c r="F226" s="234">
        <f t="shared" si="167"/>
        <v>3329</v>
      </c>
      <c r="G226" s="234">
        <f t="shared" si="167"/>
        <v>2175</v>
      </c>
      <c r="H226" s="824">
        <f t="shared" si="167"/>
        <v>0</v>
      </c>
      <c r="I226" s="233">
        <f t="shared" si="167"/>
        <v>12631</v>
      </c>
      <c r="J226" s="743">
        <f t="shared" si="164"/>
        <v>85.310009455626101</v>
      </c>
      <c r="K226" s="287">
        <f t="shared" si="167"/>
        <v>0</v>
      </c>
      <c r="L226" s="287">
        <f t="shared" ref="L226:L228" si="168">K226/G226*100</f>
        <v>0</v>
      </c>
      <c r="M226" s="234">
        <f t="shared" si="144"/>
        <v>-2175</v>
      </c>
      <c r="N226" s="3619"/>
      <c r="O226" s="218">
        <f t="shared" si="145"/>
        <v>0</v>
      </c>
    </row>
    <row r="227" spans="1:66" ht="13.5" customHeight="1" x14ac:dyDescent="0.2">
      <c r="A227" s="3615"/>
      <c r="B227" s="2765" t="s">
        <v>12</v>
      </c>
      <c r="C227" s="3621" t="s">
        <v>188</v>
      </c>
      <c r="D227" s="395">
        <f t="shared" si="167"/>
        <v>14806</v>
      </c>
      <c r="E227" s="842">
        <f t="shared" si="167"/>
        <v>9302</v>
      </c>
      <c r="F227" s="842">
        <f t="shared" si="167"/>
        <v>3329</v>
      </c>
      <c r="G227" s="842">
        <f t="shared" si="167"/>
        <v>2175</v>
      </c>
      <c r="H227" s="2763">
        <f t="shared" si="167"/>
        <v>0</v>
      </c>
      <c r="I227" s="395">
        <f t="shared" si="167"/>
        <v>12631</v>
      </c>
      <c r="J227" s="1174">
        <f t="shared" si="164"/>
        <v>85.310009455626101</v>
      </c>
      <c r="K227" s="289">
        <f t="shared" si="167"/>
        <v>0</v>
      </c>
      <c r="L227" s="2764">
        <f t="shared" si="168"/>
        <v>0</v>
      </c>
      <c r="M227" s="842">
        <f t="shared" si="144"/>
        <v>-2175</v>
      </c>
      <c r="N227" s="3619"/>
      <c r="O227" s="218">
        <f t="shared" si="145"/>
        <v>0</v>
      </c>
    </row>
    <row r="228" spans="1:66" ht="12.95" customHeight="1" thickBot="1" x14ac:dyDescent="0.25">
      <c r="A228" s="3616"/>
      <c r="B228" s="2766" t="s">
        <v>14</v>
      </c>
      <c r="C228" s="3623"/>
      <c r="D228" s="264">
        <f>+E228+F228+G228+H228</f>
        <v>14806</v>
      </c>
      <c r="E228" s="263">
        <f>9302</f>
        <v>9302</v>
      </c>
      <c r="F228" s="263">
        <v>3329</v>
      </c>
      <c r="G228" s="263">
        <v>2175</v>
      </c>
      <c r="H228" s="876">
        <v>0</v>
      </c>
      <c r="I228" s="264">
        <f>F228+K228+E228</f>
        <v>12631</v>
      </c>
      <c r="J228" s="801">
        <f t="shared" si="164"/>
        <v>85.310009455626101</v>
      </c>
      <c r="K228" s="818">
        <v>0</v>
      </c>
      <c r="L228" s="818">
        <f t="shared" si="168"/>
        <v>0</v>
      </c>
      <c r="M228" s="263">
        <f t="shared" si="144"/>
        <v>-2175</v>
      </c>
      <c r="N228" s="3620"/>
      <c r="O228" s="218">
        <f t="shared" si="145"/>
        <v>0</v>
      </c>
    </row>
    <row r="229" spans="1:66" ht="32.25" customHeight="1" thickBot="1" x14ac:dyDescent="0.25">
      <c r="A229" s="3601" t="s">
        <v>189</v>
      </c>
      <c r="B229" s="3602"/>
      <c r="C229" s="3602"/>
      <c r="D229" s="3602"/>
      <c r="E229" s="3602"/>
      <c r="F229" s="3602"/>
      <c r="G229" s="3602"/>
      <c r="H229" s="3602"/>
      <c r="I229" s="3602"/>
      <c r="J229" s="3602"/>
      <c r="K229" s="3602"/>
      <c r="L229" s="3602"/>
      <c r="M229" s="3602"/>
      <c r="N229" s="3603"/>
      <c r="O229" s="218">
        <f t="shared" si="145"/>
        <v>0</v>
      </c>
    </row>
    <row r="230" spans="1:66" ht="18" customHeight="1" thickBot="1" x14ac:dyDescent="0.25">
      <c r="A230" s="2424"/>
      <c r="B230" s="600" t="s">
        <v>162</v>
      </c>
      <c r="C230" s="601"/>
      <c r="D230" s="602">
        <f t="shared" ref="D230:H230" si="169">D231+D232</f>
        <v>5344050</v>
      </c>
      <c r="E230" s="603">
        <f t="shared" si="169"/>
        <v>2466061</v>
      </c>
      <c r="F230" s="605">
        <f t="shared" si="169"/>
        <v>2166978</v>
      </c>
      <c r="G230" s="603">
        <f t="shared" si="169"/>
        <v>711011</v>
      </c>
      <c r="H230" s="603">
        <f t="shared" si="169"/>
        <v>0</v>
      </c>
      <c r="I230" s="2767">
        <f t="shared" ref="I230" si="170">I231+I232</f>
        <v>4632812</v>
      </c>
      <c r="J230" s="2427">
        <f>I230/D230*100</f>
        <v>86.691030211169434</v>
      </c>
      <c r="K230" s="603">
        <f>K231+K232</f>
        <v>0</v>
      </c>
      <c r="L230" s="2427">
        <f>K230/G230*100</f>
        <v>0</v>
      </c>
      <c r="M230" s="603">
        <f>+K230-G230</f>
        <v>-711011</v>
      </c>
      <c r="N230" s="3631"/>
      <c r="O230" s="218">
        <f>+K230-G230/2</f>
        <v>-355505.5</v>
      </c>
      <c r="P230" s="610"/>
      <c r="Q230" s="610"/>
      <c r="R230" s="610"/>
      <c r="S230" s="610"/>
      <c r="T230" s="610"/>
      <c r="U230" s="610"/>
      <c r="V230" s="610"/>
      <c r="W230" s="610"/>
      <c r="X230" s="610"/>
      <c r="Y230" s="610"/>
      <c r="Z230" s="610"/>
      <c r="AA230" s="610"/>
      <c r="AB230" s="610"/>
      <c r="AC230" s="610"/>
      <c r="AD230" s="610"/>
      <c r="AE230" s="610"/>
      <c r="AF230" s="610"/>
      <c r="AG230" s="610"/>
      <c r="AH230" s="610"/>
      <c r="AI230" s="610"/>
      <c r="AJ230" s="610"/>
      <c r="AK230" s="610"/>
      <c r="AL230" s="610"/>
      <c r="AM230" s="610"/>
      <c r="AN230" s="610"/>
      <c r="AO230" s="610"/>
      <c r="AP230" s="610"/>
      <c r="AQ230" s="610"/>
      <c r="AR230" s="610"/>
      <c r="AS230" s="610"/>
      <c r="AT230" s="610"/>
      <c r="AU230" s="610"/>
      <c r="AV230" s="610"/>
      <c r="AW230" s="610"/>
      <c r="AX230" s="610"/>
      <c r="AY230" s="610"/>
      <c r="AZ230" s="610"/>
      <c r="BA230" s="610"/>
      <c r="BB230" s="610"/>
      <c r="BC230" s="610"/>
      <c r="BD230" s="610"/>
      <c r="BE230" s="610"/>
      <c r="BF230" s="610"/>
      <c r="BG230" s="610"/>
      <c r="BH230" s="610"/>
      <c r="BI230" s="610"/>
      <c r="BJ230" s="610"/>
      <c r="BK230" s="610"/>
      <c r="BL230" s="610"/>
      <c r="BM230" s="610"/>
      <c r="BN230" s="610"/>
    </row>
    <row r="231" spans="1:66" ht="14.25" customHeight="1" thickTop="1" x14ac:dyDescent="0.2">
      <c r="A231" s="2768"/>
      <c r="B231" s="2769" t="s">
        <v>163</v>
      </c>
      <c r="C231" s="2770"/>
      <c r="D231" s="2771">
        <v>0</v>
      </c>
      <c r="E231" s="2772">
        <v>0</v>
      </c>
      <c r="F231" s="2772">
        <v>0</v>
      </c>
      <c r="G231" s="2772">
        <v>0</v>
      </c>
      <c r="H231" s="2772">
        <v>0</v>
      </c>
      <c r="I231" s="1881">
        <v>0</v>
      </c>
      <c r="J231" s="2257">
        <v>0</v>
      </c>
      <c r="K231" s="2772">
        <v>0</v>
      </c>
      <c r="L231" s="2257">
        <v>0</v>
      </c>
      <c r="M231" s="1882">
        <f t="shared" ref="M231:M250" si="171">+K231-G231</f>
        <v>0</v>
      </c>
      <c r="N231" s="3632"/>
      <c r="O231" s="218">
        <f t="shared" si="145"/>
        <v>0</v>
      </c>
      <c r="P231" s="610"/>
      <c r="Q231" s="610"/>
      <c r="R231" s="610"/>
      <c r="S231" s="610"/>
      <c r="T231" s="610"/>
      <c r="U231" s="610"/>
      <c r="V231" s="610"/>
      <c r="W231" s="610"/>
      <c r="X231" s="610"/>
      <c r="Y231" s="610"/>
      <c r="Z231" s="610"/>
      <c r="AA231" s="610"/>
      <c r="AB231" s="610"/>
      <c r="AC231" s="610"/>
      <c r="AD231" s="610"/>
      <c r="AE231" s="610"/>
      <c r="AF231" s="610"/>
      <c r="AG231" s="610"/>
      <c r="AH231" s="610"/>
      <c r="AI231" s="610"/>
      <c r="AJ231" s="610"/>
      <c r="AK231" s="610"/>
      <c r="AL231" s="610"/>
      <c r="AM231" s="610"/>
      <c r="AN231" s="610"/>
      <c r="AO231" s="610"/>
      <c r="AP231" s="610"/>
      <c r="AQ231" s="610"/>
      <c r="AR231" s="610"/>
      <c r="AS231" s="610"/>
      <c r="AT231" s="610"/>
      <c r="AU231" s="610"/>
      <c r="AV231" s="610"/>
      <c r="AW231" s="610"/>
      <c r="AX231" s="610"/>
      <c r="AY231" s="610"/>
      <c r="AZ231" s="610"/>
      <c r="BA231" s="610"/>
      <c r="BB231" s="610"/>
      <c r="BC231" s="610"/>
      <c r="BD231" s="610"/>
      <c r="BE231" s="610"/>
      <c r="BF231" s="610"/>
      <c r="BG231" s="610"/>
      <c r="BH231" s="610"/>
      <c r="BI231" s="610"/>
      <c r="BJ231" s="610"/>
      <c r="BK231" s="610"/>
      <c r="BL231" s="610"/>
      <c r="BM231" s="610"/>
      <c r="BN231" s="610"/>
    </row>
    <row r="232" spans="1:66" ht="14.25" customHeight="1" thickBot="1" x14ac:dyDescent="0.25">
      <c r="A232" s="2768"/>
      <c r="B232" s="2773" t="s">
        <v>164</v>
      </c>
      <c r="C232" s="2774"/>
      <c r="D232" s="625">
        <f t="shared" ref="D232:I232" si="172">D252+D243</f>
        <v>5344050</v>
      </c>
      <c r="E232" s="1100">
        <f t="shared" si="172"/>
        <v>2466061</v>
      </c>
      <c r="F232" s="626">
        <f t="shared" si="172"/>
        <v>2166978</v>
      </c>
      <c r="G232" s="1100">
        <f t="shared" si="172"/>
        <v>711011</v>
      </c>
      <c r="H232" s="1100">
        <f t="shared" si="172"/>
        <v>0</v>
      </c>
      <c r="I232" s="1890">
        <f t="shared" si="172"/>
        <v>4632812</v>
      </c>
      <c r="J232" s="1099">
        <f t="shared" ref="J232:J241" si="173">I232/D232*100</f>
        <v>86.691030211169434</v>
      </c>
      <c r="K232" s="2775">
        <f>K252+K243</f>
        <v>0</v>
      </c>
      <c r="L232" s="2775">
        <f t="shared" ref="L232:L241" si="174">K232/G232*100</f>
        <v>0</v>
      </c>
      <c r="M232" s="626">
        <f t="shared" si="171"/>
        <v>-711011</v>
      </c>
      <c r="N232" s="3632"/>
      <c r="O232" s="218">
        <f t="shared" si="145"/>
        <v>227</v>
      </c>
      <c r="P232" s="610"/>
      <c r="Q232" s="610"/>
      <c r="R232" s="610"/>
      <c r="S232" s="610"/>
      <c r="T232" s="610"/>
      <c r="U232" s="610"/>
      <c r="V232" s="610"/>
      <c r="W232" s="610"/>
      <c r="X232" s="610"/>
      <c r="Y232" s="610"/>
      <c r="Z232" s="610"/>
      <c r="AA232" s="610"/>
      <c r="AB232" s="610"/>
      <c r="AC232" s="610"/>
      <c r="AD232" s="610"/>
      <c r="AE232" s="610"/>
      <c r="AF232" s="610"/>
      <c r="AG232" s="610"/>
      <c r="AH232" s="610"/>
      <c r="AI232" s="610"/>
      <c r="AJ232" s="610"/>
      <c r="AK232" s="610"/>
      <c r="AL232" s="610"/>
      <c r="AM232" s="610"/>
      <c r="AN232" s="610"/>
      <c r="AO232" s="610"/>
      <c r="AP232" s="610"/>
      <c r="AQ232" s="610"/>
      <c r="AR232" s="610"/>
      <c r="AS232" s="610"/>
      <c r="AT232" s="610"/>
      <c r="AU232" s="610"/>
      <c r="AV232" s="610"/>
      <c r="AW232" s="610"/>
      <c r="AX232" s="610"/>
      <c r="AY232" s="610"/>
      <c r="AZ232" s="610"/>
      <c r="BA232" s="610"/>
      <c r="BB232" s="610"/>
      <c r="BC232" s="610"/>
      <c r="BD232" s="610"/>
      <c r="BE232" s="610"/>
      <c r="BF232" s="610"/>
      <c r="BG232" s="610"/>
      <c r="BH232" s="610"/>
      <c r="BI232" s="610"/>
      <c r="BJ232" s="610"/>
      <c r="BK232" s="610"/>
      <c r="BL232" s="610"/>
      <c r="BM232" s="610"/>
      <c r="BN232" s="610"/>
    </row>
    <row r="233" spans="1:66" s="2446" customFormat="1" ht="15.75" customHeight="1" x14ac:dyDescent="0.2">
      <c r="A233" s="3604"/>
      <c r="B233" s="631" t="s">
        <v>2</v>
      </c>
      <c r="C233" s="2439"/>
      <c r="D233" s="2776">
        <f t="shared" ref="D233:H233" si="175">+D234</f>
        <v>5344050</v>
      </c>
      <c r="E233" s="2777">
        <f t="shared" si="175"/>
        <v>2466061</v>
      </c>
      <c r="F233" s="2777">
        <f t="shared" si="175"/>
        <v>2166978</v>
      </c>
      <c r="G233" s="2777">
        <f t="shared" si="175"/>
        <v>711011</v>
      </c>
      <c r="H233" s="2778">
        <f t="shared" si="175"/>
        <v>0</v>
      </c>
      <c r="I233" s="2779">
        <f t="shared" ref="I233" si="176">+I234</f>
        <v>4632812</v>
      </c>
      <c r="J233" s="2780">
        <f t="shared" si="173"/>
        <v>86.691030211169434</v>
      </c>
      <c r="K233" s="2781">
        <f>+K234</f>
        <v>0</v>
      </c>
      <c r="L233" s="2781">
        <f t="shared" si="174"/>
        <v>0</v>
      </c>
      <c r="M233" s="2782">
        <f t="shared" si="171"/>
        <v>-711011</v>
      </c>
      <c r="N233" s="3632"/>
      <c r="O233" s="218">
        <f t="shared" si="145"/>
        <v>227</v>
      </c>
      <c r="P233" s="2444"/>
      <c r="Q233" s="2444"/>
      <c r="R233" s="2444"/>
      <c r="S233" s="2445"/>
      <c r="T233" s="2445"/>
      <c r="U233" s="2445"/>
      <c r="V233" s="2445"/>
      <c r="W233" s="2445"/>
      <c r="X233" s="2445"/>
      <c r="Y233" s="2445"/>
      <c r="Z233" s="2445"/>
      <c r="AA233" s="2445"/>
      <c r="AB233" s="2445"/>
      <c r="AC233" s="2445"/>
      <c r="AD233" s="2445"/>
      <c r="AE233" s="2445"/>
      <c r="AF233" s="2445"/>
      <c r="AG233" s="2445"/>
      <c r="AH233" s="2445"/>
      <c r="AI233" s="2445"/>
      <c r="AJ233" s="2445"/>
      <c r="AK233" s="2445"/>
      <c r="AL233" s="2445"/>
      <c r="AM233" s="2445"/>
      <c r="AN233" s="2445"/>
      <c r="AO233" s="2445"/>
      <c r="AP233" s="2445"/>
      <c r="AQ233" s="2445"/>
      <c r="AR233" s="2445"/>
      <c r="AS233" s="2445"/>
      <c r="AT233" s="2445"/>
      <c r="AU233" s="2445"/>
      <c r="AV233" s="2445"/>
      <c r="AW233" s="2445"/>
      <c r="AX233" s="2445"/>
      <c r="AY233" s="2445"/>
      <c r="AZ233" s="2445"/>
      <c r="BA233" s="2445"/>
      <c r="BB233" s="2445"/>
      <c r="BC233" s="2445"/>
      <c r="BD233" s="2445"/>
      <c r="BE233" s="2445"/>
      <c r="BF233" s="2445"/>
      <c r="BG233" s="2445"/>
      <c r="BH233" s="2445"/>
      <c r="BI233" s="2445"/>
      <c r="BJ233" s="2445"/>
      <c r="BK233" s="2445"/>
      <c r="BL233" s="2445"/>
      <c r="BM233" s="2445"/>
      <c r="BN233" s="2445"/>
    </row>
    <row r="234" spans="1:66" s="252" customFormat="1" ht="15.75" customHeight="1" x14ac:dyDescent="0.2">
      <c r="A234" s="3605"/>
      <c r="B234" s="641" t="s">
        <v>3</v>
      </c>
      <c r="C234" s="3607"/>
      <c r="D234" s="653">
        <f t="shared" ref="D234:H234" si="177">SUM(D235:D237)</f>
        <v>5344050</v>
      </c>
      <c r="E234" s="654">
        <f t="shared" si="177"/>
        <v>2466061</v>
      </c>
      <c r="F234" s="654">
        <f t="shared" si="177"/>
        <v>2166978</v>
      </c>
      <c r="G234" s="654">
        <f t="shared" si="177"/>
        <v>711011</v>
      </c>
      <c r="H234" s="654">
        <f t="shared" si="177"/>
        <v>0</v>
      </c>
      <c r="I234" s="693">
        <f t="shared" ref="I234" si="178">SUM(I235:I237)</f>
        <v>4632812</v>
      </c>
      <c r="J234" s="2783">
        <f t="shared" si="173"/>
        <v>86.691030211169434</v>
      </c>
      <c r="K234" s="664">
        <f>SUM(K235:K237)</f>
        <v>0</v>
      </c>
      <c r="L234" s="664">
        <f t="shared" si="174"/>
        <v>0</v>
      </c>
      <c r="M234" s="689">
        <f t="shared" si="171"/>
        <v>-711011</v>
      </c>
      <c r="N234" s="3632"/>
      <c r="O234" s="218">
        <f t="shared" si="145"/>
        <v>227</v>
      </c>
      <c r="Q234" s="208"/>
    </row>
    <row r="235" spans="1:66" s="252" customFormat="1" ht="15.75" hidden="1" customHeight="1" x14ac:dyDescent="0.2">
      <c r="A235" s="3605"/>
      <c r="B235" s="652" t="s">
        <v>4</v>
      </c>
      <c r="C235" s="3272"/>
      <c r="D235" s="2557"/>
      <c r="E235" s="664"/>
      <c r="F235" s="664"/>
      <c r="G235" s="664"/>
      <c r="H235" s="664"/>
      <c r="I235" s="2784"/>
      <c r="J235" s="662" t="e">
        <f t="shared" si="173"/>
        <v>#DIV/0!</v>
      </c>
      <c r="K235" s="664"/>
      <c r="L235" s="664" t="e">
        <f t="shared" si="174"/>
        <v>#DIV/0!</v>
      </c>
      <c r="M235" s="666">
        <f t="shared" si="171"/>
        <v>0</v>
      </c>
      <c r="N235" s="3632"/>
      <c r="O235" s="218">
        <f t="shared" si="145"/>
        <v>0</v>
      </c>
      <c r="P235" s="2559"/>
    </row>
    <row r="236" spans="1:66" s="252" customFormat="1" ht="15.75" customHeight="1" outlineLevel="1" thickBot="1" x14ac:dyDescent="0.25">
      <c r="A236" s="3606"/>
      <c r="B236" s="652" t="s">
        <v>8</v>
      </c>
      <c r="C236" s="3272"/>
      <c r="D236" s="653">
        <f t="shared" ref="D236:H236" si="179">D246</f>
        <v>674361</v>
      </c>
      <c r="E236" s="654">
        <f t="shared" si="179"/>
        <v>461134</v>
      </c>
      <c r="F236" s="654">
        <f t="shared" si="179"/>
        <v>213227</v>
      </c>
      <c r="G236" s="664">
        <f t="shared" si="179"/>
        <v>0</v>
      </c>
      <c r="H236" s="664">
        <f t="shared" si="179"/>
        <v>0</v>
      </c>
      <c r="I236" s="687">
        <f t="shared" ref="I236" si="180">I246</f>
        <v>674361</v>
      </c>
      <c r="J236" s="659">
        <f t="shared" si="173"/>
        <v>100</v>
      </c>
      <c r="K236" s="664">
        <f t="shared" ref="K236" si="181">K246</f>
        <v>0</v>
      </c>
      <c r="L236" s="664">
        <v>0</v>
      </c>
      <c r="M236" s="689">
        <f t="shared" si="171"/>
        <v>0</v>
      </c>
      <c r="N236" s="3633"/>
      <c r="O236" s="218">
        <f t="shared" si="145"/>
        <v>0</v>
      </c>
      <c r="P236" s="2559"/>
    </row>
    <row r="237" spans="1:66" s="252" customFormat="1" ht="15.75" customHeight="1" outlineLevel="1" x14ac:dyDescent="0.2">
      <c r="A237" s="3605"/>
      <c r="B237" s="652" t="s">
        <v>29</v>
      </c>
      <c r="C237" s="3272"/>
      <c r="D237" s="653">
        <f t="shared" ref="D237:I237" si="182">D254+D245</f>
        <v>4669689</v>
      </c>
      <c r="E237" s="654">
        <f t="shared" si="182"/>
        <v>2004927</v>
      </c>
      <c r="F237" s="654">
        <f t="shared" si="182"/>
        <v>1953751</v>
      </c>
      <c r="G237" s="654">
        <f t="shared" si="182"/>
        <v>711011</v>
      </c>
      <c r="H237" s="654">
        <f t="shared" si="182"/>
        <v>0</v>
      </c>
      <c r="I237" s="687">
        <f t="shared" si="182"/>
        <v>3958451</v>
      </c>
      <c r="J237" s="657">
        <f t="shared" si="173"/>
        <v>84.769049930305854</v>
      </c>
      <c r="K237" s="664">
        <f>K254+K245</f>
        <v>0</v>
      </c>
      <c r="L237" s="664">
        <f t="shared" si="174"/>
        <v>0</v>
      </c>
      <c r="M237" s="689">
        <f t="shared" si="171"/>
        <v>-711011</v>
      </c>
      <c r="N237" s="3632"/>
      <c r="O237" s="218">
        <f t="shared" si="145"/>
        <v>227</v>
      </c>
      <c r="P237" s="2559"/>
    </row>
    <row r="238" spans="1:66" s="252" customFormat="1" ht="15.75" customHeight="1" outlineLevel="1" x14ac:dyDescent="0.2">
      <c r="A238" s="3605"/>
      <c r="B238" s="220" t="s">
        <v>16</v>
      </c>
      <c r="C238" s="25"/>
      <c r="D238" s="770">
        <f>D239</f>
        <v>5344050</v>
      </c>
      <c r="E238" s="1323">
        <f t="shared" ref="E238:H238" si="183">E239</f>
        <v>2466061</v>
      </c>
      <c r="F238" s="1323">
        <f t="shared" si="183"/>
        <v>2166978</v>
      </c>
      <c r="G238" s="1323">
        <f t="shared" si="183"/>
        <v>711011</v>
      </c>
      <c r="H238" s="241">
        <f t="shared" si="183"/>
        <v>0</v>
      </c>
      <c r="I238" s="954">
        <f t="shared" ref="I238:K238" si="184">I239</f>
        <v>4632812</v>
      </c>
      <c r="J238" s="743">
        <f t="shared" si="173"/>
        <v>86.691030211169434</v>
      </c>
      <c r="K238" s="2785">
        <f t="shared" si="184"/>
        <v>0</v>
      </c>
      <c r="L238" s="2785">
        <f t="shared" si="174"/>
        <v>0</v>
      </c>
      <c r="M238" s="234">
        <f t="shared" si="171"/>
        <v>-711011</v>
      </c>
      <c r="N238" s="3632"/>
      <c r="O238" s="218">
        <f t="shared" si="145"/>
        <v>227</v>
      </c>
      <c r="P238" s="2471"/>
      <c r="R238" s="2471"/>
    </row>
    <row r="239" spans="1:66" s="252" customFormat="1" ht="15.75" customHeight="1" outlineLevel="1" x14ac:dyDescent="0.2">
      <c r="A239" s="3605"/>
      <c r="B239" s="641" t="s">
        <v>3</v>
      </c>
      <c r="C239" s="3607"/>
      <c r="D239" s="653">
        <f t="shared" ref="D239:H239" si="185">SUM(D240:D241)</f>
        <v>5344050</v>
      </c>
      <c r="E239" s="654">
        <f t="shared" si="185"/>
        <v>2466061</v>
      </c>
      <c r="F239" s="654">
        <f t="shared" si="185"/>
        <v>2166978</v>
      </c>
      <c r="G239" s="654">
        <f t="shared" si="185"/>
        <v>711011</v>
      </c>
      <c r="H239" s="654">
        <f t="shared" si="185"/>
        <v>0</v>
      </c>
      <c r="I239" s="693">
        <f t="shared" ref="I239" si="186">SUM(I240:I241)</f>
        <v>4632812</v>
      </c>
      <c r="J239" s="2783">
        <f t="shared" si="173"/>
        <v>86.691030211169434</v>
      </c>
      <c r="K239" s="664">
        <f>SUM(K240:K241)</f>
        <v>0</v>
      </c>
      <c r="L239" s="664">
        <f t="shared" si="174"/>
        <v>0</v>
      </c>
      <c r="M239" s="689">
        <f t="shared" si="171"/>
        <v>-711011</v>
      </c>
      <c r="N239" s="3632"/>
      <c r="O239" s="218">
        <f t="shared" si="145"/>
        <v>227</v>
      </c>
      <c r="P239" s="2471"/>
      <c r="R239" s="2471"/>
    </row>
    <row r="240" spans="1:66" s="252" customFormat="1" ht="15.75" customHeight="1" outlineLevel="1" x14ac:dyDescent="0.2">
      <c r="A240" s="3605"/>
      <c r="B240" s="652" t="s">
        <v>8</v>
      </c>
      <c r="C240" s="3272"/>
      <c r="D240" s="653">
        <f t="shared" ref="D240:H240" si="187">D250</f>
        <v>674361</v>
      </c>
      <c r="E240" s="654">
        <f t="shared" si="187"/>
        <v>461134</v>
      </c>
      <c r="F240" s="654">
        <f t="shared" si="187"/>
        <v>213227</v>
      </c>
      <c r="G240" s="664">
        <f t="shared" si="187"/>
        <v>0</v>
      </c>
      <c r="H240" s="664">
        <f t="shared" si="187"/>
        <v>0</v>
      </c>
      <c r="I240" s="687">
        <f t="shared" ref="I240" si="188">I250</f>
        <v>674361</v>
      </c>
      <c r="J240" s="659">
        <f t="shared" si="173"/>
        <v>100</v>
      </c>
      <c r="K240" s="664">
        <f t="shared" ref="K240" si="189">K250</f>
        <v>0</v>
      </c>
      <c r="L240" s="664">
        <v>0</v>
      </c>
      <c r="M240" s="689">
        <f t="shared" si="171"/>
        <v>0</v>
      </c>
      <c r="N240" s="3632"/>
      <c r="O240" s="218">
        <f t="shared" si="145"/>
        <v>0</v>
      </c>
    </row>
    <row r="241" spans="1:15" s="252" customFormat="1" ht="15.75" customHeight="1" outlineLevel="1" thickBot="1" x14ac:dyDescent="0.25">
      <c r="A241" s="3606"/>
      <c r="B241" s="2786" t="s">
        <v>29</v>
      </c>
      <c r="C241" s="3608"/>
      <c r="D241" s="2787">
        <f t="shared" ref="D241:I241" si="190">D257+D249</f>
        <v>4669689</v>
      </c>
      <c r="E241" s="2788">
        <f t="shared" si="190"/>
        <v>2004927</v>
      </c>
      <c r="F241" s="2788">
        <f t="shared" si="190"/>
        <v>1953751</v>
      </c>
      <c r="G241" s="2788">
        <f t="shared" si="190"/>
        <v>711011</v>
      </c>
      <c r="H241" s="2788">
        <f t="shared" si="190"/>
        <v>0</v>
      </c>
      <c r="I241" s="2789">
        <f t="shared" si="190"/>
        <v>3958451</v>
      </c>
      <c r="J241" s="2790">
        <f t="shared" si="173"/>
        <v>84.769049930305854</v>
      </c>
      <c r="K241" s="664">
        <f>K257+K249</f>
        <v>0</v>
      </c>
      <c r="L241" s="664">
        <f t="shared" si="174"/>
        <v>0</v>
      </c>
      <c r="M241" s="2791">
        <f t="shared" si="171"/>
        <v>-711011</v>
      </c>
      <c r="N241" s="3633"/>
      <c r="O241" s="218">
        <f t="shared" si="145"/>
        <v>227</v>
      </c>
    </row>
    <row r="242" spans="1:15" ht="20.25" customHeight="1" x14ac:dyDescent="0.2">
      <c r="A242" s="3634" t="s">
        <v>32</v>
      </c>
      <c r="B242" s="2478" t="s">
        <v>190</v>
      </c>
      <c r="C242" s="2762" t="s">
        <v>166</v>
      </c>
      <c r="D242" s="2512"/>
      <c r="E242" s="2481"/>
      <c r="F242" s="2481"/>
      <c r="G242" s="2481"/>
      <c r="H242" s="2792"/>
      <c r="I242" s="2483"/>
      <c r="J242" s="2484"/>
      <c r="K242" s="2485"/>
      <c r="L242" s="2484"/>
      <c r="M242" s="2481"/>
      <c r="N242" s="3637" t="s">
        <v>169</v>
      </c>
      <c r="O242" s="218">
        <f t="shared" si="145"/>
        <v>0</v>
      </c>
    </row>
    <row r="243" spans="1:15" ht="14.25" customHeight="1" x14ac:dyDescent="0.2">
      <c r="A243" s="3635"/>
      <c r="B243" s="1328" t="s">
        <v>2</v>
      </c>
      <c r="C243" s="2793"/>
      <c r="D243" s="233">
        <f t="shared" ref="D243:K243" si="191">+D244</f>
        <v>3606362</v>
      </c>
      <c r="E243" s="1204">
        <f t="shared" si="191"/>
        <v>2466061</v>
      </c>
      <c r="F243" s="234">
        <f t="shared" si="191"/>
        <v>1140301</v>
      </c>
      <c r="G243" s="287">
        <f t="shared" si="191"/>
        <v>0</v>
      </c>
      <c r="H243" s="809">
        <f t="shared" si="191"/>
        <v>0</v>
      </c>
      <c r="I243" s="233">
        <f t="shared" si="191"/>
        <v>3606362</v>
      </c>
      <c r="J243" s="743">
        <f t="shared" ref="J243:J250" si="192">I243/D243*100</f>
        <v>100</v>
      </c>
      <c r="K243" s="287">
        <f t="shared" si="191"/>
        <v>0</v>
      </c>
      <c r="L243" s="287">
        <v>0</v>
      </c>
      <c r="M243" s="234">
        <f t="shared" si="171"/>
        <v>0</v>
      </c>
      <c r="N243" s="3638"/>
      <c r="O243" s="218">
        <f t="shared" si="145"/>
        <v>0</v>
      </c>
    </row>
    <row r="244" spans="1:15" ht="14.25" customHeight="1" x14ac:dyDescent="0.2">
      <c r="A244" s="3635"/>
      <c r="B244" s="1319" t="s">
        <v>3</v>
      </c>
      <c r="C244" s="3208" t="s">
        <v>168</v>
      </c>
      <c r="D244" s="395">
        <f t="shared" ref="D244:H244" si="193">+D245+D246</f>
        <v>3606362</v>
      </c>
      <c r="E244" s="278">
        <f t="shared" ref="E244:F244" si="194">+E245+E246</f>
        <v>2466061</v>
      </c>
      <c r="F244" s="842">
        <f t="shared" si="194"/>
        <v>1140301</v>
      </c>
      <c r="G244" s="289">
        <f t="shared" si="193"/>
        <v>0</v>
      </c>
      <c r="H244" s="2794">
        <f t="shared" si="193"/>
        <v>0</v>
      </c>
      <c r="I244" s="277">
        <f t="shared" ref="I244" si="195">+I245+I246</f>
        <v>3606362</v>
      </c>
      <c r="J244" s="144">
        <f t="shared" si="192"/>
        <v>100</v>
      </c>
      <c r="K244" s="289">
        <f>+K245+K246</f>
        <v>0</v>
      </c>
      <c r="L244" s="944">
        <v>0</v>
      </c>
      <c r="M244" s="842">
        <f t="shared" si="171"/>
        <v>0</v>
      </c>
      <c r="N244" s="3638"/>
      <c r="O244" s="218">
        <f t="shared" si="145"/>
        <v>0</v>
      </c>
    </row>
    <row r="245" spans="1:15" ht="14.25" customHeight="1" x14ac:dyDescent="0.2">
      <c r="A245" s="3635"/>
      <c r="B245" s="793" t="s">
        <v>10</v>
      </c>
      <c r="C245" s="3640"/>
      <c r="D245" s="246">
        <f>+E245+F245+G245+H245</f>
        <v>2932001</v>
      </c>
      <c r="E245" s="245">
        <v>2004927</v>
      </c>
      <c r="F245" s="779">
        <v>927074</v>
      </c>
      <c r="G245" s="250">
        <v>0</v>
      </c>
      <c r="H245" s="794">
        <v>0</v>
      </c>
      <c r="I245" s="246">
        <f>F245+K245+E245</f>
        <v>2932001</v>
      </c>
      <c r="J245" s="780">
        <f t="shared" si="192"/>
        <v>100</v>
      </c>
      <c r="K245" s="250">
        <v>0</v>
      </c>
      <c r="L245" s="250">
        <v>0</v>
      </c>
      <c r="M245" s="779">
        <f t="shared" si="171"/>
        <v>0</v>
      </c>
      <c r="N245" s="3638"/>
      <c r="O245" s="218">
        <f t="shared" si="145"/>
        <v>0</v>
      </c>
    </row>
    <row r="246" spans="1:15" ht="14.25" customHeight="1" x14ac:dyDescent="0.2">
      <c r="A246" s="3635"/>
      <c r="B246" s="793" t="s">
        <v>8</v>
      </c>
      <c r="C246" s="3629"/>
      <c r="D246" s="246">
        <f>+E246+F246+G246+H246</f>
        <v>674361</v>
      </c>
      <c r="E246" s="245">
        <v>461134</v>
      </c>
      <c r="F246" s="779">
        <v>213227</v>
      </c>
      <c r="G246" s="250">
        <v>0</v>
      </c>
      <c r="H246" s="794">
        <v>0</v>
      </c>
      <c r="I246" s="246">
        <f>F246+K246+E246</f>
        <v>674361</v>
      </c>
      <c r="J246" s="780">
        <f t="shared" si="192"/>
        <v>100</v>
      </c>
      <c r="K246" s="250">
        <v>0</v>
      </c>
      <c r="L246" s="250">
        <v>0</v>
      </c>
      <c r="M246" s="779">
        <f t="shared" si="171"/>
        <v>0</v>
      </c>
      <c r="N246" s="3638"/>
      <c r="O246" s="218">
        <f t="shared" si="145"/>
        <v>0</v>
      </c>
    </row>
    <row r="247" spans="1:15" ht="14.25" customHeight="1" x14ac:dyDescent="0.2">
      <c r="A247" s="3635"/>
      <c r="B247" s="1328" t="s">
        <v>16</v>
      </c>
      <c r="C247" s="2793"/>
      <c r="D247" s="233">
        <f t="shared" ref="D247:H247" si="196">+D248</f>
        <v>3606362</v>
      </c>
      <c r="E247" s="1204">
        <f t="shared" si="196"/>
        <v>2466061</v>
      </c>
      <c r="F247" s="234">
        <f t="shared" si="196"/>
        <v>1140301</v>
      </c>
      <c r="G247" s="287">
        <f t="shared" si="196"/>
        <v>0</v>
      </c>
      <c r="H247" s="809">
        <f t="shared" si="196"/>
        <v>0</v>
      </c>
      <c r="I247" s="233">
        <f t="shared" ref="I247" si="197">+I248</f>
        <v>3606362</v>
      </c>
      <c r="J247" s="743">
        <f t="shared" si="192"/>
        <v>100</v>
      </c>
      <c r="K247" s="287">
        <f>K248</f>
        <v>0</v>
      </c>
      <c r="L247" s="287">
        <v>0</v>
      </c>
      <c r="M247" s="234">
        <f t="shared" si="171"/>
        <v>0</v>
      </c>
      <c r="N247" s="3638"/>
      <c r="O247" s="218">
        <f t="shared" si="145"/>
        <v>0</v>
      </c>
    </row>
    <row r="248" spans="1:15" ht="14.25" customHeight="1" x14ac:dyDescent="0.2">
      <c r="A248" s="3635"/>
      <c r="B248" s="1319" t="s">
        <v>3</v>
      </c>
      <c r="C248" s="3208" t="s">
        <v>168</v>
      </c>
      <c r="D248" s="395">
        <f t="shared" ref="D248" si="198">+D249+D250</f>
        <v>3606362</v>
      </c>
      <c r="E248" s="278">
        <f>+E249+E250</f>
        <v>2466061</v>
      </c>
      <c r="F248" s="842">
        <f>+F249+F250</f>
        <v>1140301</v>
      </c>
      <c r="G248" s="289">
        <f>+G249+G250</f>
        <v>0</v>
      </c>
      <c r="H248" s="2794">
        <f t="shared" ref="H248" si="199">+H249+H250</f>
        <v>0</v>
      </c>
      <c r="I248" s="395">
        <f>I249+I250</f>
        <v>3606362</v>
      </c>
      <c r="J248" s="1174">
        <f t="shared" si="192"/>
        <v>100</v>
      </c>
      <c r="K248" s="289">
        <f>SUM(K249:K250)</f>
        <v>0</v>
      </c>
      <c r="L248" s="398">
        <v>0</v>
      </c>
      <c r="M248" s="842">
        <f t="shared" si="171"/>
        <v>0</v>
      </c>
      <c r="N248" s="3638"/>
      <c r="O248" s="218">
        <f t="shared" si="145"/>
        <v>0</v>
      </c>
    </row>
    <row r="249" spans="1:15" ht="14.25" customHeight="1" x14ac:dyDescent="0.2">
      <c r="A249" s="3635"/>
      <c r="B249" s="793" t="s">
        <v>29</v>
      </c>
      <c r="C249" s="3640"/>
      <c r="D249" s="246">
        <f>+E249+F249+G249+H249</f>
        <v>2932001</v>
      </c>
      <c r="E249" s="245">
        <v>2004927</v>
      </c>
      <c r="F249" s="779">
        <v>927074</v>
      </c>
      <c r="G249" s="250">
        <v>0</v>
      </c>
      <c r="H249" s="794">
        <v>0</v>
      </c>
      <c r="I249" s="246">
        <f>F249+K249+E249</f>
        <v>2932001</v>
      </c>
      <c r="J249" s="780">
        <f t="shared" si="192"/>
        <v>100</v>
      </c>
      <c r="K249" s="250">
        <v>0</v>
      </c>
      <c r="L249" s="250">
        <v>0</v>
      </c>
      <c r="M249" s="779">
        <f t="shared" si="171"/>
        <v>0</v>
      </c>
      <c r="N249" s="3638"/>
      <c r="O249" s="218">
        <f t="shared" si="145"/>
        <v>0</v>
      </c>
    </row>
    <row r="250" spans="1:15" ht="14.25" customHeight="1" thickBot="1" x14ac:dyDescent="0.25">
      <c r="A250" s="3636"/>
      <c r="B250" s="2795" t="s">
        <v>8</v>
      </c>
      <c r="C250" s="3630"/>
      <c r="D250" s="264">
        <f>+E250+F250+G250+H250</f>
        <v>674361</v>
      </c>
      <c r="E250" s="799">
        <v>461134</v>
      </c>
      <c r="F250" s="263">
        <v>213227</v>
      </c>
      <c r="G250" s="818">
        <v>0</v>
      </c>
      <c r="H250" s="891">
        <v>0</v>
      </c>
      <c r="I250" s="264">
        <f>F250+K250+E250</f>
        <v>674361</v>
      </c>
      <c r="J250" s="801">
        <f t="shared" si="192"/>
        <v>100</v>
      </c>
      <c r="K250" s="250">
        <v>0</v>
      </c>
      <c r="L250" s="818">
        <v>0</v>
      </c>
      <c r="M250" s="263">
        <f t="shared" si="171"/>
        <v>0</v>
      </c>
      <c r="N250" s="3639"/>
      <c r="O250" s="218">
        <f t="shared" si="145"/>
        <v>0</v>
      </c>
    </row>
    <row r="251" spans="1:15" ht="44.25" customHeight="1" x14ac:dyDescent="0.2">
      <c r="A251" s="3624" t="s">
        <v>35</v>
      </c>
      <c r="B251" s="2511" t="s">
        <v>321</v>
      </c>
      <c r="C251" s="2762" t="s">
        <v>166</v>
      </c>
      <c r="D251" s="2512"/>
      <c r="E251" s="2481"/>
      <c r="F251" s="2481"/>
      <c r="G251" s="2481"/>
      <c r="H251" s="2792"/>
      <c r="I251" s="2483"/>
      <c r="J251" s="2484"/>
      <c r="K251" s="2485"/>
      <c r="L251" s="2484"/>
      <c r="M251" s="2481"/>
      <c r="N251" s="3626" t="s">
        <v>169</v>
      </c>
      <c r="O251" s="218">
        <f t="shared" ref="O251:O257" si="200">E251+F251+K251-I251</f>
        <v>0</v>
      </c>
    </row>
    <row r="252" spans="1:15" ht="15" customHeight="1" x14ac:dyDescent="0.2">
      <c r="A252" s="3615"/>
      <c r="B252" s="1328" t="s">
        <v>2</v>
      </c>
      <c r="C252" s="2793"/>
      <c r="D252" s="233">
        <f t="shared" ref="D252:H252" si="201">+D254</f>
        <v>1737688</v>
      </c>
      <c r="E252" s="287">
        <f t="shared" si="201"/>
        <v>0</v>
      </c>
      <c r="F252" s="241">
        <f t="shared" si="201"/>
        <v>1026677</v>
      </c>
      <c r="G252" s="234">
        <f t="shared" si="201"/>
        <v>711011</v>
      </c>
      <c r="H252" s="1579">
        <f t="shared" si="201"/>
        <v>0</v>
      </c>
      <c r="I252" s="233">
        <f>I253</f>
        <v>1026450</v>
      </c>
      <c r="J252" s="743">
        <f>I252/D252*100</f>
        <v>59.06986754814443</v>
      </c>
      <c r="K252" s="287">
        <f>+K254</f>
        <v>0</v>
      </c>
      <c r="L252" s="287">
        <f t="shared" ref="L252:L257" si="202">K252/G252*100</f>
        <v>0</v>
      </c>
      <c r="M252" s="234">
        <f t="shared" ref="M252:M257" si="203">+K252-G252</f>
        <v>-711011</v>
      </c>
      <c r="N252" s="3627"/>
      <c r="O252" s="218">
        <f t="shared" si="200"/>
        <v>227</v>
      </c>
    </row>
    <row r="253" spans="1:15" ht="15" customHeight="1" x14ac:dyDescent="0.2">
      <c r="A253" s="3615"/>
      <c r="B253" s="1319" t="s">
        <v>3</v>
      </c>
      <c r="C253" s="3208" t="s">
        <v>168</v>
      </c>
      <c r="D253" s="395">
        <f t="shared" ref="D253:H253" si="204">+D254</f>
        <v>1737688</v>
      </c>
      <c r="E253" s="289">
        <f t="shared" si="204"/>
        <v>0</v>
      </c>
      <c r="F253" s="397">
        <f t="shared" si="204"/>
        <v>1026677</v>
      </c>
      <c r="G253" s="842">
        <f t="shared" si="204"/>
        <v>711011</v>
      </c>
      <c r="H253" s="2764">
        <f t="shared" si="204"/>
        <v>0</v>
      </c>
      <c r="I253" s="277">
        <f>I254</f>
        <v>1026450</v>
      </c>
      <c r="J253" s="144">
        <f t="shared" ref="J253:J257" si="205">I253/D253*100</f>
        <v>59.06986754814443</v>
      </c>
      <c r="K253" s="289">
        <f>+K254</f>
        <v>0</v>
      </c>
      <c r="L253" s="944">
        <f t="shared" si="202"/>
        <v>0</v>
      </c>
      <c r="M253" s="842">
        <f t="shared" si="203"/>
        <v>-711011</v>
      </c>
      <c r="N253" s="3627"/>
      <c r="O253" s="218">
        <f t="shared" si="200"/>
        <v>227</v>
      </c>
    </row>
    <row r="254" spans="1:15" ht="15" customHeight="1" x14ac:dyDescent="0.2">
      <c r="A254" s="3615"/>
      <c r="B254" s="793" t="s">
        <v>29</v>
      </c>
      <c r="C254" s="3629"/>
      <c r="D254" s="246">
        <f>+E254+F254+G254+H254</f>
        <v>1737688</v>
      </c>
      <c r="E254" s="250">
        <v>0</v>
      </c>
      <c r="F254" s="779">
        <v>1026677</v>
      </c>
      <c r="G254" s="779">
        <v>711011</v>
      </c>
      <c r="H254" s="1188">
        <v>0</v>
      </c>
      <c r="I254" s="246">
        <f>F254+K254+E254-227</f>
        <v>1026450</v>
      </c>
      <c r="J254" s="780">
        <f t="shared" si="205"/>
        <v>59.06986754814443</v>
      </c>
      <c r="K254" s="250">
        <v>0</v>
      </c>
      <c r="L254" s="250">
        <f t="shared" si="202"/>
        <v>0</v>
      </c>
      <c r="M254" s="779">
        <f t="shared" si="203"/>
        <v>-711011</v>
      </c>
      <c r="N254" s="3627"/>
      <c r="O254" s="218">
        <f t="shared" si="200"/>
        <v>227</v>
      </c>
    </row>
    <row r="255" spans="1:15" ht="15" customHeight="1" x14ac:dyDescent="0.2">
      <c r="A255" s="3615"/>
      <c r="B255" s="1328" t="s">
        <v>16</v>
      </c>
      <c r="C255" s="2793"/>
      <c r="D255" s="233">
        <f t="shared" ref="D255:H256" si="206">+D256</f>
        <v>1737688</v>
      </c>
      <c r="E255" s="287">
        <f t="shared" si="206"/>
        <v>0</v>
      </c>
      <c r="F255" s="241">
        <f t="shared" si="206"/>
        <v>1026677</v>
      </c>
      <c r="G255" s="241">
        <f t="shared" si="206"/>
        <v>711011</v>
      </c>
      <c r="H255" s="261">
        <f t="shared" si="206"/>
        <v>0</v>
      </c>
      <c r="I255" s="233">
        <f>I256</f>
        <v>1026450</v>
      </c>
      <c r="J255" s="743">
        <f t="shared" si="205"/>
        <v>59.06986754814443</v>
      </c>
      <c r="K255" s="287">
        <f>+K256</f>
        <v>0</v>
      </c>
      <c r="L255" s="287">
        <f t="shared" si="202"/>
        <v>0</v>
      </c>
      <c r="M255" s="234">
        <f t="shared" si="203"/>
        <v>-711011</v>
      </c>
      <c r="N255" s="3627"/>
      <c r="O255" s="218">
        <f t="shared" si="200"/>
        <v>227</v>
      </c>
    </row>
    <row r="256" spans="1:15" ht="15" customHeight="1" x14ac:dyDescent="0.2">
      <c r="A256" s="3615"/>
      <c r="B256" s="1319" t="s">
        <v>3</v>
      </c>
      <c r="C256" s="3208" t="s">
        <v>168</v>
      </c>
      <c r="D256" s="395">
        <f t="shared" si="206"/>
        <v>1737688</v>
      </c>
      <c r="E256" s="289">
        <f t="shared" si="206"/>
        <v>0</v>
      </c>
      <c r="F256" s="397">
        <f t="shared" si="206"/>
        <v>1026677</v>
      </c>
      <c r="G256" s="397">
        <f t="shared" si="206"/>
        <v>711011</v>
      </c>
      <c r="H256" s="279">
        <f t="shared" si="206"/>
        <v>0</v>
      </c>
      <c r="I256" s="277">
        <f>I257</f>
        <v>1026450</v>
      </c>
      <c r="J256" s="144">
        <f t="shared" si="205"/>
        <v>59.06986754814443</v>
      </c>
      <c r="K256" s="289">
        <f>+K257</f>
        <v>0</v>
      </c>
      <c r="L256" s="944">
        <f t="shared" si="202"/>
        <v>0</v>
      </c>
      <c r="M256" s="842">
        <f t="shared" si="203"/>
        <v>-711011</v>
      </c>
      <c r="N256" s="3627"/>
      <c r="O256" s="218">
        <f t="shared" si="200"/>
        <v>227</v>
      </c>
    </row>
    <row r="257" spans="1:15" ht="15" customHeight="1" thickBot="1" x14ac:dyDescent="0.25">
      <c r="A257" s="3625"/>
      <c r="B257" s="2795" t="s">
        <v>29</v>
      </c>
      <c r="C257" s="3630"/>
      <c r="D257" s="264">
        <f>+E257+F257+G257+H257</f>
        <v>1737688</v>
      </c>
      <c r="E257" s="818">
        <v>0</v>
      </c>
      <c r="F257" s="265">
        <v>1026677</v>
      </c>
      <c r="G257" s="265">
        <v>711011</v>
      </c>
      <c r="H257" s="272">
        <v>0</v>
      </c>
      <c r="I257" s="264">
        <f>F257+K257+E257-227</f>
        <v>1026450</v>
      </c>
      <c r="J257" s="801">
        <f t="shared" si="205"/>
        <v>59.06986754814443</v>
      </c>
      <c r="K257" s="818">
        <v>0</v>
      </c>
      <c r="L257" s="818">
        <f t="shared" si="202"/>
        <v>0</v>
      </c>
      <c r="M257" s="263">
        <f t="shared" si="203"/>
        <v>-711011</v>
      </c>
      <c r="N257" s="3628"/>
      <c r="O257" s="218">
        <f t="shared" si="200"/>
        <v>227</v>
      </c>
    </row>
  </sheetData>
  <mergeCells count="96">
    <mergeCell ref="C24:C32"/>
    <mergeCell ref="A3:N3"/>
    <mergeCell ref="A4:A7"/>
    <mergeCell ref="B4:B7"/>
    <mergeCell ref="C4:C7"/>
    <mergeCell ref="D4:H4"/>
    <mergeCell ref="D5:D7"/>
    <mergeCell ref="E5:E7"/>
    <mergeCell ref="F5:F7"/>
    <mergeCell ref="I5:I7"/>
    <mergeCell ref="K6:K7"/>
    <mergeCell ref="L6:L7"/>
    <mergeCell ref="M6:M7"/>
    <mergeCell ref="G5:H5"/>
    <mergeCell ref="G6:G7"/>
    <mergeCell ref="H6:H7"/>
    <mergeCell ref="A8:B8"/>
    <mergeCell ref="N4:N7"/>
    <mergeCell ref="J5:J7"/>
    <mergeCell ref="A47:A59"/>
    <mergeCell ref="N47:N59"/>
    <mergeCell ref="C49:C53"/>
    <mergeCell ref="C55:C59"/>
    <mergeCell ref="I4:L4"/>
    <mergeCell ref="K5:L5"/>
    <mergeCell ref="A33:A45"/>
    <mergeCell ref="N33:N45"/>
    <mergeCell ref="C35:C39"/>
    <mergeCell ref="C41:C45"/>
    <mergeCell ref="A12:A32"/>
    <mergeCell ref="N12:N32"/>
    <mergeCell ref="C13:C22"/>
    <mergeCell ref="A60:A72"/>
    <mergeCell ref="N60:N72"/>
    <mergeCell ref="C62:C66"/>
    <mergeCell ref="A73:A91"/>
    <mergeCell ref="C84:C91"/>
    <mergeCell ref="N73:N91"/>
    <mergeCell ref="A92:A107"/>
    <mergeCell ref="N92:N107"/>
    <mergeCell ref="C102:C107"/>
    <mergeCell ref="C75:C82"/>
    <mergeCell ref="C94:C100"/>
    <mergeCell ref="A108:A118"/>
    <mergeCell ref="N108:N118"/>
    <mergeCell ref="C110:C113"/>
    <mergeCell ref="C115:C118"/>
    <mergeCell ref="A119:A129"/>
    <mergeCell ref="N119:N129"/>
    <mergeCell ref="C121:C124"/>
    <mergeCell ref="C126:C129"/>
    <mergeCell ref="A130:A143"/>
    <mergeCell ref="N130:N143"/>
    <mergeCell ref="C132:C136"/>
    <mergeCell ref="C138:C143"/>
    <mergeCell ref="A144:A154"/>
    <mergeCell ref="N144:N154"/>
    <mergeCell ref="C146:C150"/>
    <mergeCell ref="C152:C154"/>
    <mergeCell ref="C199:C204"/>
    <mergeCell ref="A179:A189"/>
    <mergeCell ref="N179:N189"/>
    <mergeCell ref="C181:C184"/>
    <mergeCell ref="C186:C189"/>
    <mergeCell ref="C192:C197"/>
    <mergeCell ref="A190:A204"/>
    <mergeCell ref="N190:N204"/>
    <mergeCell ref="C160:C161"/>
    <mergeCell ref="C163:C164"/>
    <mergeCell ref="A165:A178"/>
    <mergeCell ref="N165:N178"/>
    <mergeCell ref="C167:C171"/>
    <mergeCell ref="C173:C178"/>
    <mergeCell ref="A158:A163"/>
    <mergeCell ref="N158:N164"/>
    <mergeCell ref="A251:A257"/>
    <mergeCell ref="N251:N257"/>
    <mergeCell ref="C253:C254"/>
    <mergeCell ref="C256:C257"/>
    <mergeCell ref="N230:N241"/>
    <mergeCell ref="A242:A250"/>
    <mergeCell ref="N242:N250"/>
    <mergeCell ref="C244:C246"/>
    <mergeCell ref="C248:C250"/>
    <mergeCell ref="A229:N229"/>
    <mergeCell ref="A233:A241"/>
    <mergeCell ref="C234:C237"/>
    <mergeCell ref="C239:C241"/>
    <mergeCell ref="A205:A219"/>
    <mergeCell ref="N205:N219"/>
    <mergeCell ref="C207:C212"/>
    <mergeCell ref="C214:C219"/>
    <mergeCell ref="A220:A228"/>
    <mergeCell ref="N220:N228"/>
    <mergeCell ref="C222:C225"/>
    <mergeCell ref="C227:C228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61" orientation="portrait" useFirstPageNumber="1" r:id="rId1"/>
  <headerFooter alignWithMargins="0">
    <oddHeader>&amp;C&amp;"Arial,Kursywa"Informacja o wykonaniu budżetu Województwa Zachodniopomorskiego za I kwartał 2014 roku
______________________________________________________________________________________________________________________</oddHeader>
    <oddFooter>&amp;C&amp;8&amp;P</oddFooter>
  </headerFooter>
  <rowBreaks count="2" manualBreakCount="2">
    <brk id="91" max="13" man="1"/>
    <brk id="228" max="1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E546"/>
  <sheetViews>
    <sheetView showGridLines="0" view="pageBreakPreview" zoomScaleNormal="100" zoomScaleSheetLayoutView="100" workbookViewId="0"/>
  </sheetViews>
  <sheetFormatPr defaultRowHeight="11.25" x14ac:dyDescent="0.2"/>
  <cols>
    <col min="1" max="1" width="2.85546875" style="1745" customWidth="1"/>
    <col min="2" max="2" width="52.5703125" style="1746" customWidth="1"/>
    <col min="3" max="3" width="11.28515625" style="1746" customWidth="1"/>
    <col min="4" max="4" width="13.85546875" style="1746" customWidth="1"/>
    <col min="5" max="5" width="10.85546875" style="1746" hidden="1" customWidth="1"/>
    <col min="6" max="6" width="13.28515625" style="1746" hidden="1" customWidth="1"/>
    <col min="7" max="7" width="12.28515625" style="1746" customWidth="1"/>
    <col min="8" max="8" width="12.140625" style="1746" customWidth="1"/>
    <col min="9" max="9" width="11.85546875" style="1746" customWidth="1"/>
    <col min="10" max="10" width="9.85546875" style="1977" customWidth="1"/>
    <col min="11" max="11" width="11.140625" style="1750" customWidth="1"/>
    <col min="12" max="12" width="11.7109375" style="1750" customWidth="1"/>
    <col min="13" max="13" width="13.140625" style="1750" hidden="1" customWidth="1"/>
    <col min="14" max="14" width="8" style="1748" customWidth="1"/>
    <col min="15" max="15" width="11.85546875" style="1746" customWidth="1"/>
    <col min="16" max="16384" width="9.140625" style="1746"/>
  </cols>
  <sheetData>
    <row r="1" spans="1:109" ht="24.75" customHeight="1" x14ac:dyDescent="0.3">
      <c r="I1" s="28"/>
      <c r="J1" s="28"/>
      <c r="K1" s="3066" t="s">
        <v>385</v>
      </c>
      <c r="L1" s="3066"/>
    </row>
    <row r="2" spans="1:109" ht="15" customHeight="1" x14ac:dyDescent="0.2">
      <c r="I2" s="1226"/>
      <c r="J2" s="1746"/>
      <c r="K2" s="1746"/>
      <c r="L2" s="1746"/>
      <c r="M2" s="1746"/>
      <c r="N2" s="1225"/>
    </row>
    <row r="3" spans="1:109" ht="5.25" customHeight="1" thickBot="1" x14ac:dyDescent="0.25">
      <c r="I3" s="1226"/>
      <c r="J3" s="1746"/>
      <c r="K3" s="1746"/>
      <c r="L3" s="1746"/>
      <c r="M3" s="1746"/>
      <c r="N3" s="1225"/>
    </row>
    <row r="4" spans="1:109" ht="5.25" customHeight="1" x14ac:dyDescent="0.2">
      <c r="A4" s="2796"/>
      <c r="B4" s="1970"/>
      <c r="C4" s="1970"/>
      <c r="D4" s="1970"/>
      <c r="E4" s="1970"/>
      <c r="F4" s="1970"/>
      <c r="G4" s="1970"/>
      <c r="H4" s="1970"/>
      <c r="I4" s="2797"/>
      <c r="J4" s="1970"/>
      <c r="K4" s="1970"/>
      <c r="L4" s="1970"/>
      <c r="M4" s="1970"/>
      <c r="N4" s="2798"/>
    </row>
    <row r="5" spans="1:109" s="1898" customFormat="1" ht="45" customHeight="1" thickBot="1" x14ac:dyDescent="0.25">
      <c r="A5" s="3747" t="s">
        <v>191</v>
      </c>
      <c r="B5" s="3748"/>
      <c r="C5" s="3748"/>
      <c r="D5" s="3748"/>
      <c r="E5" s="3748"/>
      <c r="F5" s="3748"/>
      <c r="G5" s="3748"/>
      <c r="H5" s="3748"/>
      <c r="I5" s="3749"/>
      <c r="J5" s="3749"/>
      <c r="K5" s="3749"/>
      <c r="L5" s="3749"/>
      <c r="M5" s="3749"/>
      <c r="N5" s="3750"/>
      <c r="O5" s="1450"/>
      <c r="P5" s="1897"/>
      <c r="Q5" s="1897"/>
      <c r="R5" s="1897"/>
      <c r="S5" s="1897"/>
      <c r="T5" s="1897"/>
      <c r="U5" s="1897"/>
      <c r="V5" s="1897"/>
      <c r="W5" s="1897"/>
      <c r="X5" s="1897"/>
      <c r="Y5" s="1897"/>
      <c r="Z5" s="1897"/>
      <c r="AA5" s="1897"/>
      <c r="AB5" s="1897"/>
      <c r="AC5" s="1897"/>
      <c r="AD5" s="1897"/>
      <c r="AE5" s="1897"/>
      <c r="AF5" s="1897"/>
      <c r="AG5" s="1897"/>
      <c r="AH5" s="1897"/>
      <c r="AI5" s="1897"/>
      <c r="AJ5" s="1897"/>
      <c r="AK5" s="1897"/>
      <c r="AL5" s="1897"/>
      <c r="AM5" s="1897"/>
      <c r="AN5" s="1897"/>
      <c r="AO5" s="1897"/>
      <c r="AP5" s="1897"/>
      <c r="AQ5" s="1897"/>
      <c r="AR5" s="1897"/>
      <c r="AS5" s="1897"/>
      <c r="AT5" s="1897"/>
      <c r="AU5" s="1897"/>
      <c r="AV5" s="1897"/>
      <c r="AW5" s="1897"/>
      <c r="AX5" s="1897"/>
      <c r="AY5" s="1897"/>
      <c r="AZ5" s="1897"/>
      <c r="BA5" s="1897"/>
      <c r="BB5" s="1897"/>
      <c r="BC5" s="1897"/>
      <c r="BD5" s="1897"/>
      <c r="BE5" s="1897"/>
      <c r="BF5" s="1897"/>
      <c r="BG5" s="1897"/>
      <c r="BH5" s="1897"/>
      <c r="BI5" s="1897"/>
      <c r="BJ5" s="1897"/>
      <c r="BK5" s="1897"/>
      <c r="BL5" s="1897"/>
      <c r="BM5" s="1897"/>
      <c r="BN5" s="1897"/>
      <c r="BO5" s="1897"/>
      <c r="BP5" s="1897"/>
      <c r="BQ5" s="1897"/>
      <c r="BR5" s="1897"/>
      <c r="BS5" s="1897"/>
      <c r="BT5" s="1897"/>
      <c r="BU5" s="1897"/>
      <c r="BV5" s="1897"/>
      <c r="BW5" s="1897"/>
      <c r="BX5" s="1897"/>
      <c r="BY5" s="1897"/>
      <c r="BZ5" s="1897"/>
      <c r="CA5" s="1897"/>
      <c r="CB5" s="1897"/>
      <c r="CC5" s="1897"/>
      <c r="CD5" s="1897"/>
      <c r="CE5" s="1897"/>
      <c r="CF5" s="1897"/>
      <c r="CG5" s="1897"/>
      <c r="CH5" s="1897"/>
      <c r="CI5" s="1897"/>
      <c r="CJ5" s="1897"/>
      <c r="CK5" s="1897"/>
      <c r="CL5" s="1897"/>
      <c r="CM5" s="1897"/>
      <c r="CN5" s="1897"/>
      <c r="CO5" s="1897"/>
      <c r="CP5" s="1897"/>
      <c r="CQ5" s="1897"/>
      <c r="CR5" s="1897"/>
      <c r="CS5" s="1897"/>
      <c r="CT5" s="1897"/>
      <c r="CU5" s="1897"/>
      <c r="CV5" s="1897"/>
      <c r="CW5" s="1897"/>
      <c r="CX5" s="1897"/>
      <c r="CY5" s="1897"/>
      <c r="CZ5" s="1897"/>
      <c r="DA5" s="1897"/>
      <c r="DB5" s="1897"/>
      <c r="DC5" s="1897"/>
      <c r="DD5" s="1897"/>
      <c r="DE5" s="1897"/>
    </row>
    <row r="6" spans="1:109" s="24" customFormat="1" ht="31.5" customHeight="1" x14ac:dyDescent="0.2">
      <c r="A6" s="3751" t="s">
        <v>24</v>
      </c>
      <c r="B6" s="3754" t="s">
        <v>25</v>
      </c>
      <c r="C6" s="3367" t="s">
        <v>26</v>
      </c>
      <c r="D6" s="3026" t="s">
        <v>356</v>
      </c>
      <c r="E6" s="3027"/>
      <c r="F6" s="3027"/>
      <c r="G6" s="3027"/>
      <c r="H6" s="3028"/>
      <c r="I6" s="3026" t="s">
        <v>351</v>
      </c>
      <c r="J6" s="3027"/>
      <c r="K6" s="3027"/>
      <c r="L6" s="3262"/>
      <c r="M6" s="591"/>
      <c r="N6" s="3346" t="s">
        <v>27</v>
      </c>
    </row>
    <row r="7" spans="1:109" s="24" customFormat="1" ht="24.75" customHeight="1" x14ac:dyDescent="0.2">
      <c r="A7" s="3752"/>
      <c r="B7" s="3755"/>
      <c r="C7" s="3368"/>
      <c r="D7" s="3031" t="s">
        <v>0</v>
      </c>
      <c r="E7" s="3072" t="s">
        <v>360</v>
      </c>
      <c r="F7" s="3075" t="s">
        <v>361</v>
      </c>
      <c r="G7" s="3029" t="s">
        <v>257</v>
      </c>
      <c r="H7" s="3030"/>
      <c r="I7" s="3235" t="s">
        <v>350</v>
      </c>
      <c r="J7" s="3259" t="s">
        <v>300</v>
      </c>
      <c r="K7" s="3069" t="s">
        <v>357</v>
      </c>
      <c r="L7" s="3225"/>
      <c r="M7" s="592"/>
      <c r="N7" s="3347"/>
    </row>
    <row r="8" spans="1:109" s="24" customFormat="1" ht="65.25" customHeight="1" x14ac:dyDescent="0.2">
      <c r="A8" s="3752"/>
      <c r="B8" s="3755"/>
      <c r="C8" s="3368"/>
      <c r="D8" s="3032"/>
      <c r="E8" s="3073"/>
      <c r="F8" s="3076"/>
      <c r="G8" s="3059" t="s">
        <v>349</v>
      </c>
      <c r="H8" s="3061" t="s">
        <v>355</v>
      </c>
      <c r="I8" s="3236"/>
      <c r="J8" s="3260"/>
      <c r="K8" s="3078" t="s">
        <v>359</v>
      </c>
      <c r="L8" s="3239" t="s">
        <v>301</v>
      </c>
      <c r="M8" s="3241" t="s">
        <v>302</v>
      </c>
      <c r="N8" s="3347"/>
    </row>
    <row r="9" spans="1:109" s="24" customFormat="1" ht="28.5" customHeight="1" thickBot="1" x14ac:dyDescent="0.25">
      <c r="A9" s="3753"/>
      <c r="B9" s="3756"/>
      <c r="C9" s="3369"/>
      <c r="D9" s="3243"/>
      <c r="E9" s="3244"/>
      <c r="F9" s="3345"/>
      <c r="G9" s="3274"/>
      <c r="H9" s="3275"/>
      <c r="I9" s="3237"/>
      <c r="J9" s="3261"/>
      <c r="K9" s="3238"/>
      <c r="L9" s="3240"/>
      <c r="M9" s="3242"/>
      <c r="N9" s="3348"/>
    </row>
    <row r="10" spans="1:109" s="24" customFormat="1" ht="13.5" customHeight="1" thickBot="1" x14ac:dyDescent="0.25">
      <c r="A10" s="3684">
        <v>1</v>
      </c>
      <c r="B10" s="3685"/>
      <c r="C10" s="2799">
        <v>2</v>
      </c>
      <c r="D10" s="1754">
        <v>3</v>
      </c>
      <c r="E10" s="1755"/>
      <c r="F10" s="1755"/>
      <c r="G10" s="1755">
        <v>4</v>
      </c>
      <c r="H10" s="1756">
        <v>5</v>
      </c>
      <c r="I10" s="1754">
        <v>6</v>
      </c>
      <c r="J10" s="1988">
        <v>7</v>
      </c>
      <c r="K10" s="1988">
        <v>8</v>
      </c>
      <c r="L10" s="1989">
        <v>9</v>
      </c>
      <c r="M10" s="1989">
        <v>10</v>
      </c>
      <c r="N10" s="1758">
        <v>10</v>
      </c>
    </row>
    <row r="11" spans="1:109" s="24" customFormat="1" ht="19.5" customHeight="1" thickBot="1" x14ac:dyDescent="0.25">
      <c r="A11" s="2800"/>
      <c r="B11" s="600" t="s">
        <v>162</v>
      </c>
      <c r="C11" s="601"/>
      <c r="D11" s="602">
        <f t="shared" ref="D11:H11" si="0">D12+D13</f>
        <v>15930254</v>
      </c>
      <c r="E11" s="603">
        <f t="shared" si="0"/>
        <v>808638</v>
      </c>
      <c r="F11" s="603">
        <f t="shared" si="0"/>
        <v>5369854</v>
      </c>
      <c r="G11" s="603">
        <f t="shared" si="0"/>
        <v>9001762</v>
      </c>
      <c r="H11" s="606">
        <f t="shared" si="0"/>
        <v>750000</v>
      </c>
      <c r="I11" s="602">
        <f t="shared" ref="I11" si="1">I12+I13</f>
        <v>4978641</v>
      </c>
      <c r="J11" s="2427">
        <f t="shared" ref="J11:J21" si="2">I11/D11*100</f>
        <v>31.252740853975087</v>
      </c>
      <c r="K11" s="603">
        <f>K12+K13</f>
        <v>241849</v>
      </c>
      <c r="L11" s="2427">
        <f t="shared" ref="L11:L21" si="3">K11/G11*100</f>
        <v>2.6866851178691462</v>
      </c>
      <c r="M11" s="605">
        <f t="shared" ref="M11:M21" si="4">+K11-G11</f>
        <v>-8759913</v>
      </c>
      <c r="N11" s="2801"/>
      <c r="O11" s="218"/>
    </row>
    <row r="12" spans="1:109" s="1844" customFormat="1" ht="15.75" customHeight="1" thickTop="1" x14ac:dyDescent="0.2">
      <c r="A12" s="2802"/>
      <c r="B12" s="613" t="s">
        <v>163</v>
      </c>
      <c r="C12" s="614"/>
      <c r="D12" s="39">
        <f t="shared" ref="D12:I12" si="5">D23+D41+D50+D57+D71</f>
        <v>15796484</v>
      </c>
      <c r="E12" s="40">
        <f t="shared" si="5"/>
        <v>808638</v>
      </c>
      <c r="F12" s="40">
        <f t="shared" si="5"/>
        <v>5292184</v>
      </c>
      <c r="G12" s="40">
        <f t="shared" si="5"/>
        <v>8945662</v>
      </c>
      <c r="H12" s="45">
        <f t="shared" si="5"/>
        <v>750000</v>
      </c>
      <c r="I12" s="39">
        <f t="shared" si="5"/>
        <v>4943387</v>
      </c>
      <c r="J12" s="2803">
        <f t="shared" si="2"/>
        <v>31.294223448711751</v>
      </c>
      <c r="K12" s="40">
        <f>K23+K41+K50+K57+K71</f>
        <v>228165</v>
      </c>
      <c r="L12" s="2430">
        <f t="shared" si="3"/>
        <v>2.5505658496822257</v>
      </c>
      <c r="M12" s="617">
        <f t="shared" si="4"/>
        <v>-8717497</v>
      </c>
      <c r="N12" s="2804"/>
      <c r="O12" s="218"/>
    </row>
    <row r="13" spans="1:109" s="1844" customFormat="1" ht="15.75" customHeight="1" thickBot="1" x14ac:dyDescent="0.25">
      <c r="A13" s="2802"/>
      <c r="B13" s="1997" t="s">
        <v>164</v>
      </c>
      <c r="C13" s="1998"/>
      <c r="D13" s="2805">
        <f t="shared" ref="D13:I13" si="6">+D64+D32</f>
        <v>133770</v>
      </c>
      <c r="E13" s="2001">
        <f t="shared" si="6"/>
        <v>0</v>
      </c>
      <c r="F13" s="2001">
        <f t="shared" si="6"/>
        <v>77670</v>
      </c>
      <c r="G13" s="2001">
        <f t="shared" si="6"/>
        <v>56100</v>
      </c>
      <c r="H13" s="2806">
        <f t="shared" si="6"/>
        <v>0</v>
      </c>
      <c r="I13" s="2805">
        <f t="shared" si="6"/>
        <v>35254</v>
      </c>
      <c r="J13" s="2807">
        <f t="shared" si="2"/>
        <v>26.354190027659413</v>
      </c>
      <c r="K13" s="2001">
        <f>+K64+K32</f>
        <v>13684</v>
      </c>
      <c r="L13" s="2437">
        <f t="shared" si="3"/>
        <v>24.3921568627451</v>
      </c>
      <c r="M13" s="413">
        <f t="shared" si="4"/>
        <v>-42416</v>
      </c>
      <c r="N13" s="2804"/>
      <c r="O13" s="218"/>
    </row>
    <row r="14" spans="1:109" ht="18.75" customHeight="1" x14ac:dyDescent="0.2">
      <c r="A14" s="3744"/>
      <c r="B14" s="2808" t="s">
        <v>2</v>
      </c>
      <c r="C14" s="2809"/>
      <c r="D14" s="2810">
        <f t="shared" ref="D14:H14" si="7">D15+D17</f>
        <v>15930254</v>
      </c>
      <c r="E14" s="1239">
        <f t="shared" si="7"/>
        <v>808638</v>
      </c>
      <c r="F14" s="1239">
        <f t="shared" si="7"/>
        <v>5369854</v>
      </c>
      <c r="G14" s="1239">
        <f t="shared" si="7"/>
        <v>9001762</v>
      </c>
      <c r="H14" s="2811">
        <f t="shared" si="7"/>
        <v>750000</v>
      </c>
      <c r="I14" s="2810">
        <f>I15+I17</f>
        <v>4978641</v>
      </c>
      <c r="J14" s="2812">
        <f t="shared" si="2"/>
        <v>31.252740853975087</v>
      </c>
      <c r="K14" s="1239">
        <f>K15+K17</f>
        <v>241849</v>
      </c>
      <c r="L14" s="2443">
        <f t="shared" si="3"/>
        <v>2.6866851178691462</v>
      </c>
      <c r="M14" s="1243">
        <f t="shared" si="4"/>
        <v>-8759913</v>
      </c>
      <c r="N14" s="3725" t="s">
        <v>78</v>
      </c>
      <c r="O14" s="218"/>
    </row>
    <row r="15" spans="1:109" ht="12" customHeight="1" x14ac:dyDescent="0.2">
      <c r="A15" s="3298"/>
      <c r="B15" s="1245" t="s">
        <v>17</v>
      </c>
      <c r="C15" s="3728" t="s">
        <v>78</v>
      </c>
      <c r="D15" s="2813">
        <f>D16</f>
        <v>227950</v>
      </c>
      <c r="E15" s="1247">
        <f>+E16</f>
        <v>40195</v>
      </c>
      <c r="F15" s="1247">
        <f>+F16</f>
        <v>118416</v>
      </c>
      <c r="G15" s="1247">
        <f>+G16</f>
        <v>69339</v>
      </c>
      <c r="H15" s="1248">
        <f>+H16</f>
        <v>0</v>
      </c>
      <c r="I15" s="1260">
        <f>+I16</f>
        <v>136304</v>
      </c>
      <c r="J15" s="2814">
        <f t="shared" si="2"/>
        <v>59.795569203772757</v>
      </c>
      <c r="K15" s="2815">
        <f>+K16</f>
        <v>13470</v>
      </c>
      <c r="L15" s="2451">
        <f t="shared" si="3"/>
        <v>19.426296889196557</v>
      </c>
      <c r="M15" s="2816">
        <f t="shared" si="4"/>
        <v>-55869</v>
      </c>
      <c r="N15" s="3726"/>
      <c r="O15" s="218"/>
    </row>
    <row r="16" spans="1:109" ht="15" customHeight="1" x14ac:dyDescent="0.2">
      <c r="A16" s="3298"/>
      <c r="B16" s="661" t="s">
        <v>4</v>
      </c>
      <c r="C16" s="3729"/>
      <c r="D16" s="2462">
        <f t="shared" ref="D16:I16" si="8">D25+D43+D34</f>
        <v>227950</v>
      </c>
      <c r="E16" s="2454">
        <f t="shared" si="8"/>
        <v>40195</v>
      </c>
      <c r="F16" s="2454">
        <f t="shared" si="8"/>
        <v>118416</v>
      </c>
      <c r="G16" s="2454">
        <f t="shared" si="8"/>
        <v>69339</v>
      </c>
      <c r="H16" s="2817">
        <f t="shared" si="8"/>
        <v>0</v>
      </c>
      <c r="I16" s="2462">
        <f t="shared" si="8"/>
        <v>136304</v>
      </c>
      <c r="J16" s="2818">
        <f t="shared" si="2"/>
        <v>59.795569203772757</v>
      </c>
      <c r="K16" s="2454">
        <f>K25+K43+K34</f>
        <v>13470</v>
      </c>
      <c r="L16" s="2455">
        <f t="shared" si="3"/>
        <v>19.426296889196557</v>
      </c>
      <c r="M16" s="1259">
        <f t="shared" si="4"/>
        <v>-55869</v>
      </c>
      <c r="N16" s="3726"/>
      <c r="O16" s="218"/>
    </row>
    <row r="17" spans="1:15" ht="14.25" customHeight="1" x14ac:dyDescent="0.2">
      <c r="A17" s="3298"/>
      <c r="B17" s="641" t="s">
        <v>12</v>
      </c>
      <c r="C17" s="3729"/>
      <c r="D17" s="2819">
        <f t="shared" ref="D17:H17" si="9">D18</f>
        <v>15702304</v>
      </c>
      <c r="E17" s="1247">
        <f t="shared" si="9"/>
        <v>768443</v>
      </c>
      <c r="F17" s="1247">
        <f t="shared" si="9"/>
        <v>5251438</v>
      </c>
      <c r="G17" s="2820">
        <f t="shared" si="9"/>
        <v>8932423</v>
      </c>
      <c r="H17" s="1248">
        <f t="shared" si="9"/>
        <v>750000</v>
      </c>
      <c r="I17" s="1260">
        <f t="shared" ref="I17:K17" si="10">I18</f>
        <v>4842337</v>
      </c>
      <c r="J17" s="2821">
        <f t="shared" si="2"/>
        <v>30.838385245884936</v>
      </c>
      <c r="K17" s="1247">
        <f t="shared" si="10"/>
        <v>228379</v>
      </c>
      <c r="L17" s="2822">
        <f t="shared" si="3"/>
        <v>2.5567418829135162</v>
      </c>
      <c r="M17" s="2823">
        <f t="shared" si="4"/>
        <v>-8704044</v>
      </c>
      <c r="N17" s="3726"/>
      <c r="O17" s="218"/>
    </row>
    <row r="18" spans="1:15" ht="13.5" customHeight="1" x14ac:dyDescent="0.2">
      <c r="A18" s="3298"/>
      <c r="B18" s="2824" t="s">
        <v>14</v>
      </c>
      <c r="C18" s="3745"/>
      <c r="D18" s="2825">
        <f t="shared" ref="D18:I18" si="11">D27+D45+D52+D59+D66+D36+D73</f>
        <v>15702304</v>
      </c>
      <c r="E18" s="2826">
        <f t="shared" si="11"/>
        <v>768443</v>
      </c>
      <c r="F18" s="2826">
        <f t="shared" si="11"/>
        <v>5251438</v>
      </c>
      <c r="G18" s="2826">
        <f t="shared" si="11"/>
        <v>8932423</v>
      </c>
      <c r="H18" s="2827">
        <f t="shared" si="11"/>
        <v>750000</v>
      </c>
      <c r="I18" s="2825">
        <f t="shared" si="11"/>
        <v>4842337</v>
      </c>
      <c r="J18" s="2828">
        <f t="shared" si="2"/>
        <v>30.838385245884936</v>
      </c>
      <c r="K18" s="2826">
        <f>K27+K45+K52+K59+K66+K36+K73</f>
        <v>228379</v>
      </c>
      <c r="L18" s="2828">
        <f t="shared" si="3"/>
        <v>2.5567418829135162</v>
      </c>
      <c r="M18" s="1264">
        <f t="shared" si="4"/>
        <v>-8704044</v>
      </c>
      <c r="N18" s="3726"/>
      <c r="O18" s="218"/>
    </row>
    <row r="19" spans="1:15" ht="18.75" customHeight="1" x14ac:dyDescent="0.2">
      <c r="A19" s="3298"/>
      <c r="B19" s="220" t="s">
        <v>16</v>
      </c>
      <c r="C19" s="25"/>
      <c r="D19" s="2829">
        <f>D20</f>
        <v>15702304</v>
      </c>
      <c r="E19" s="978">
        <f t="shared" ref="E19:H20" si="12">E20</f>
        <v>740757</v>
      </c>
      <c r="F19" s="978">
        <f t="shared" si="12"/>
        <v>2655628</v>
      </c>
      <c r="G19" s="978">
        <f t="shared" si="12"/>
        <v>9089225</v>
      </c>
      <c r="H19" s="2830">
        <f t="shared" si="12"/>
        <v>3216694</v>
      </c>
      <c r="I19" s="1208">
        <f t="shared" ref="I19:K20" si="13">I20</f>
        <v>3452476</v>
      </c>
      <c r="J19" s="1196">
        <f t="shared" si="2"/>
        <v>21.987066356631484</v>
      </c>
      <c r="K19" s="978">
        <f t="shared" si="13"/>
        <v>80876</v>
      </c>
      <c r="L19" s="1196">
        <f t="shared" si="3"/>
        <v>0.88980083560479573</v>
      </c>
      <c r="M19" s="1268">
        <f t="shared" si="4"/>
        <v>-9008349</v>
      </c>
      <c r="N19" s="3726"/>
      <c r="O19" s="218"/>
    </row>
    <row r="20" spans="1:15" ht="15" customHeight="1" x14ac:dyDescent="0.2">
      <c r="A20" s="3298"/>
      <c r="B20" s="692" t="s">
        <v>12</v>
      </c>
      <c r="C20" s="3746" t="s">
        <v>78</v>
      </c>
      <c r="D20" s="2831">
        <f>D21</f>
        <v>15702304</v>
      </c>
      <c r="E20" s="1271">
        <f t="shared" si="12"/>
        <v>740757</v>
      </c>
      <c r="F20" s="1271">
        <f t="shared" si="12"/>
        <v>2655628</v>
      </c>
      <c r="G20" s="1271">
        <f t="shared" si="12"/>
        <v>9089225</v>
      </c>
      <c r="H20" s="1272">
        <f t="shared" si="12"/>
        <v>3216694</v>
      </c>
      <c r="I20" s="1270">
        <f t="shared" si="13"/>
        <v>3452476</v>
      </c>
      <c r="J20" s="2832">
        <f t="shared" si="2"/>
        <v>21.987066356631484</v>
      </c>
      <c r="K20" s="1271">
        <f t="shared" si="13"/>
        <v>80876</v>
      </c>
      <c r="L20" s="2832">
        <f t="shared" si="3"/>
        <v>0.88980083560479573</v>
      </c>
      <c r="M20" s="1275">
        <f t="shared" si="4"/>
        <v>-9008349</v>
      </c>
      <c r="N20" s="3726"/>
      <c r="O20" s="218"/>
    </row>
    <row r="21" spans="1:15" ht="15" customHeight="1" thickBot="1" x14ac:dyDescent="0.25">
      <c r="A21" s="3298"/>
      <c r="B21" s="2824" t="s">
        <v>14</v>
      </c>
      <c r="C21" s="3745"/>
      <c r="D21" s="2833">
        <f>D30+D48+D55+D62+D69+D39+D76</f>
        <v>15702304</v>
      </c>
      <c r="E21" s="1279">
        <f>E30+E48+E55+E62+E69+E39</f>
        <v>740757</v>
      </c>
      <c r="F21" s="1279">
        <f>F30+F48+F55+F62+F69+F39+F76</f>
        <v>2655628</v>
      </c>
      <c r="G21" s="1279">
        <f>G30+G48+G55+G62+G69+G39+G76</f>
        <v>9089225</v>
      </c>
      <c r="H21" s="1280">
        <f>H30+H48+H55+H62+H69+H39+H76</f>
        <v>3216694</v>
      </c>
      <c r="I21" s="2834">
        <f>I30+I48+I55+I62+I69+I39+I76</f>
        <v>3452476</v>
      </c>
      <c r="J21" s="2835">
        <f t="shared" si="2"/>
        <v>21.987066356631484</v>
      </c>
      <c r="K21" s="1279">
        <f>K30+K48+K55+K62+K69+K39+K76</f>
        <v>80876</v>
      </c>
      <c r="L21" s="2835">
        <f t="shared" si="3"/>
        <v>0.88980083560479573</v>
      </c>
      <c r="M21" s="2836">
        <f t="shared" si="4"/>
        <v>-9008349</v>
      </c>
      <c r="N21" s="3726"/>
      <c r="O21" s="218"/>
    </row>
    <row r="22" spans="1:15" ht="54" customHeight="1" x14ac:dyDescent="0.2">
      <c r="A22" s="3715" t="s">
        <v>32</v>
      </c>
      <c r="B22" s="2837" t="s">
        <v>192</v>
      </c>
      <c r="C22" s="2838" t="s">
        <v>171</v>
      </c>
      <c r="D22" s="2839"/>
      <c r="E22" s="2839"/>
      <c r="F22" s="2839"/>
      <c r="G22" s="2839"/>
      <c r="H22" s="2840"/>
      <c r="I22" s="2841"/>
      <c r="J22" s="1815"/>
      <c r="K22" s="2842"/>
      <c r="L22" s="1815"/>
      <c r="M22" s="2840">
        <f t="shared" ref="M22" si="14">+K22-G22*0.5</f>
        <v>0</v>
      </c>
      <c r="N22" s="3712" t="s">
        <v>193</v>
      </c>
      <c r="O22" s="218"/>
    </row>
    <row r="23" spans="1:15" ht="15" customHeight="1" x14ac:dyDescent="0.2">
      <c r="A23" s="3735"/>
      <c r="B23" s="220" t="s">
        <v>2</v>
      </c>
      <c r="C23" s="25"/>
      <c r="D23" s="233">
        <f t="shared" ref="D23" si="15">+D24+D26</f>
        <v>619664</v>
      </c>
      <c r="E23" s="234">
        <f>+E24+E26</f>
        <v>164470</v>
      </c>
      <c r="F23" s="234">
        <f>F24+F26</f>
        <v>263517</v>
      </c>
      <c r="G23" s="234">
        <f t="shared" ref="G23:H23" si="16">+G24+G26</f>
        <v>191677</v>
      </c>
      <c r="H23" s="241">
        <f t="shared" si="16"/>
        <v>0</v>
      </c>
      <c r="I23" s="233">
        <f t="shared" ref="I23" si="17">+I24+I26</f>
        <v>445367</v>
      </c>
      <c r="J23" s="743">
        <f t="shared" ref="J23:J30" si="18">I23/D23*100</f>
        <v>71.872337266647733</v>
      </c>
      <c r="K23" s="234">
        <f>K24+K26</f>
        <v>17380</v>
      </c>
      <c r="L23" s="743">
        <f t="shared" ref="L23:L30" si="19">K23/G23*100</f>
        <v>9.0673372392097118</v>
      </c>
      <c r="M23" s="241">
        <f t="shared" ref="M23:M30" si="20">+K23-G23</f>
        <v>-174297</v>
      </c>
      <c r="N23" s="3713"/>
      <c r="O23" s="218"/>
    </row>
    <row r="24" spans="1:15" ht="15" customHeight="1" x14ac:dyDescent="0.2">
      <c r="A24" s="3735"/>
      <c r="B24" s="242" t="s">
        <v>17</v>
      </c>
      <c r="C24" s="3100" t="s">
        <v>194</v>
      </c>
      <c r="D24" s="277">
        <f t="shared" ref="D24:I24" si="21">+D25</f>
        <v>92950</v>
      </c>
      <c r="E24" s="842">
        <f t="shared" si="21"/>
        <v>24672</v>
      </c>
      <c r="F24" s="1821">
        <f>F25</f>
        <v>39528</v>
      </c>
      <c r="G24" s="278">
        <f t="shared" si="21"/>
        <v>28750</v>
      </c>
      <c r="H24" s="288">
        <f t="shared" si="21"/>
        <v>0</v>
      </c>
      <c r="I24" s="277">
        <f t="shared" si="21"/>
        <v>66807</v>
      </c>
      <c r="J24" s="1820">
        <f t="shared" si="18"/>
        <v>71.874125874125866</v>
      </c>
      <c r="K24" s="1821">
        <f>K25</f>
        <v>2607</v>
      </c>
      <c r="L24" s="1820">
        <f t="shared" si="19"/>
        <v>9.0678260869565221</v>
      </c>
      <c r="M24" s="288">
        <f t="shared" si="20"/>
        <v>-26143</v>
      </c>
      <c r="N24" s="3713"/>
      <c r="O24" s="218"/>
    </row>
    <row r="25" spans="1:15" ht="15" customHeight="1" x14ac:dyDescent="0.2">
      <c r="A25" s="3735"/>
      <c r="B25" s="243" t="s">
        <v>4</v>
      </c>
      <c r="C25" s="3101"/>
      <c r="D25" s="244">
        <f>+E25+F25+G25+H25</f>
        <v>92950</v>
      </c>
      <c r="E25" s="779">
        <f>11289+13383</f>
        <v>24672</v>
      </c>
      <c r="F25" s="779">
        <v>39528</v>
      </c>
      <c r="G25" s="779">
        <v>28750</v>
      </c>
      <c r="H25" s="247">
        <v>0</v>
      </c>
      <c r="I25" s="1587">
        <f>K25+E25+F25</f>
        <v>66807</v>
      </c>
      <c r="J25" s="780">
        <f t="shared" si="18"/>
        <v>71.874125874125866</v>
      </c>
      <c r="K25" s="779">
        <v>2607</v>
      </c>
      <c r="L25" s="780">
        <f t="shared" si="19"/>
        <v>9.0678260869565221</v>
      </c>
      <c r="M25" s="247">
        <f t="shared" si="20"/>
        <v>-26143</v>
      </c>
      <c r="N25" s="3713"/>
      <c r="O25" s="218"/>
    </row>
    <row r="26" spans="1:15" ht="15" customHeight="1" x14ac:dyDescent="0.2">
      <c r="A26" s="3735"/>
      <c r="B26" s="253" t="s">
        <v>12</v>
      </c>
      <c r="C26" s="3101"/>
      <c r="D26" s="254">
        <f t="shared" ref="D26:I26" si="22">+D27</f>
        <v>526714</v>
      </c>
      <c r="E26" s="1087">
        <f t="shared" si="22"/>
        <v>139798</v>
      </c>
      <c r="F26" s="1087">
        <f>F27</f>
        <v>223989</v>
      </c>
      <c r="G26" s="813">
        <f t="shared" si="22"/>
        <v>162927</v>
      </c>
      <c r="H26" s="814">
        <f t="shared" si="22"/>
        <v>0</v>
      </c>
      <c r="I26" s="254">
        <f t="shared" si="22"/>
        <v>378560</v>
      </c>
      <c r="J26" s="144">
        <f t="shared" si="18"/>
        <v>71.872021628435917</v>
      </c>
      <c r="K26" s="1087">
        <f>K27</f>
        <v>14773</v>
      </c>
      <c r="L26" s="144">
        <f t="shared" si="19"/>
        <v>9.0672509774316108</v>
      </c>
      <c r="M26" s="814">
        <f t="shared" si="20"/>
        <v>-148154</v>
      </c>
      <c r="N26" s="3713"/>
      <c r="O26" s="218"/>
    </row>
    <row r="27" spans="1:15" ht="15" customHeight="1" x14ac:dyDescent="0.2">
      <c r="A27" s="3735"/>
      <c r="B27" s="1854" t="s">
        <v>14</v>
      </c>
      <c r="C27" s="3101"/>
      <c r="D27" s="244">
        <f>+E27+F27+G27+H27</f>
        <v>526714</v>
      </c>
      <c r="E27" s="779">
        <f>63962+75836</f>
        <v>139798</v>
      </c>
      <c r="F27" s="779">
        <v>223989</v>
      </c>
      <c r="G27" s="779">
        <v>162927</v>
      </c>
      <c r="H27" s="247">
        <v>0</v>
      </c>
      <c r="I27" s="1587">
        <f>K27+E27+F27</f>
        <v>378560</v>
      </c>
      <c r="J27" s="780">
        <f t="shared" si="18"/>
        <v>71.872021628435917</v>
      </c>
      <c r="K27" s="779">
        <v>14773</v>
      </c>
      <c r="L27" s="780">
        <f t="shared" si="19"/>
        <v>9.0672509774316108</v>
      </c>
      <c r="M27" s="247">
        <f t="shared" si="20"/>
        <v>-148154</v>
      </c>
      <c r="N27" s="3713"/>
      <c r="O27" s="218"/>
    </row>
    <row r="28" spans="1:15" ht="15" customHeight="1" x14ac:dyDescent="0.2">
      <c r="A28" s="3735"/>
      <c r="B28" s="220" t="s">
        <v>16</v>
      </c>
      <c r="C28" s="25"/>
      <c r="D28" s="233">
        <f>+D29</f>
        <v>526714</v>
      </c>
      <c r="E28" s="234">
        <f t="shared" ref="E28:H29" si="23">+E29</f>
        <v>79097</v>
      </c>
      <c r="F28" s="234">
        <f>F29</f>
        <v>57053</v>
      </c>
      <c r="G28" s="234">
        <f t="shared" si="23"/>
        <v>304939</v>
      </c>
      <c r="H28" s="241">
        <f t="shared" si="23"/>
        <v>85625</v>
      </c>
      <c r="I28" s="233">
        <f>I29</f>
        <v>136150</v>
      </c>
      <c r="J28" s="743">
        <f t="shared" si="18"/>
        <v>25.848942689960776</v>
      </c>
      <c r="K28" s="234">
        <f>K29</f>
        <v>0</v>
      </c>
      <c r="L28" s="743">
        <f t="shared" si="19"/>
        <v>0</v>
      </c>
      <c r="M28" s="241">
        <f t="shared" si="20"/>
        <v>-304939</v>
      </c>
      <c r="N28" s="3713"/>
      <c r="O28" s="218"/>
    </row>
    <row r="29" spans="1:15" ht="15" customHeight="1" x14ac:dyDescent="0.2">
      <c r="A29" s="3735"/>
      <c r="B29" s="253" t="s">
        <v>12</v>
      </c>
      <c r="C29" s="3208" t="s">
        <v>195</v>
      </c>
      <c r="D29" s="254">
        <f>+D30</f>
        <v>526714</v>
      </c>
      <c r="E29" s="255">
        <f t="shared" si="23"/>
        <v>79097</v>
      </c>
      <c r="F29" s="255">
        <f>F30</f>
        <v>57053</v>
      </c>
      <c r="G29" s="255">
        <f t="shared" si="23"/>
        <v>304939</v>
      </c>
      <c r="H29" s="259">
        <f t="shared" si="23"/>
        <v>85625</v>
      </c>
      <c r="I29" s="254">
        <f>I30</f>
        <v>136150</v>
      </c>
      <c r="J29" s="26">
        <f t="shared" si="18"/>
        <v>25.848942689960776</v>
      </c>
      <c r="K29" s="255">
        <f>K30</f>
        <v>0</v>
      </c>
      <c r="L29" s="26">
        <f t="shared" si="19"/>
        <v>0</v>
      </c>
      <c r="M29" s="259">
        <f t="shared" si="20"/>
        <v>-304939</v>
      </c>
      <c r="N29" s="3713"/>
      <c r="O29" s="218"/>
    </row>
    <row r="30" spans="1:15" s="1934" customFormat="1" ht="15" customHeight="1" thickBot="1" x14ac:dyDescent="0.25">
      <c r="A30" s="3736"/>
      <c r="B30" s="2843" t="s">
        <v>14</v>
      </c>
      <c r="C30" s="3104"/>
      <c r="D30" s="262">
        <f>+E30+F30+G30+H30</f>
        <v>526714</v>
      </c>
      <c r="E30" s="263">
        <f>1291+77806</f>
        <v>79097</v>
      </c>
      <c r="F30" s="403">
        <v>57053</v>
      </c>
      <c r="G30" s="263">
        <v>304939</v>
      </c>
      <c r="H30" s="1210">
        <v>85625</v>
      </c>
      <c r="I30" s="2844">
        <f>K30+E30+F30</f>
        <v>136150</v>
      </c>
      <c r="J30" s="1847">
        <f t="shared" si="18"/>
        <v>25.848942689960776</v>
      </c>
      <c r="K30" s="403">
        <v>0</v>
      </c>
      <c r="L30" s="1847">
        <f t="shared" si="19"/>
        <v>0</v>
      </c>
      <c r="M30" s="265">
        <f t="shared" si="20"/>
        <v>-304939</v>
      </c>
      <c r="N30" s="3714"/>
      <c r="O30" s="218"/>
    </row>
    <row r="31" spans="1:15" s="1934" customFormat="1" ht="50.25" customHeight="1" x14ac:dyDescent="0.2">
      <c r="A31" s="3741" t="s">
        <v>35</v>
      </c>
      <c r="B31" s="2837" t="s">
        <v>322</v>
      </c>
      <c r="C31" s="2838" t="s">
        <v>166</v>
      </c>
      <c r="D31" s="2841"/>
      <c r="E31" s="2839"/>
      <c r="F31" s="2839"/>
      <c r="G31" s="2839"/>
      <c r="H31" s="2845"/>
      <c r="I31" s="2841"/>
      <c r="J31" s="1815"/>
      <c r="K31" s="2842"/>
      <c r="L31" s="1815"/>
      <c r="M31" s="2839"/>
      <c r="N31" s="3712" t="s">
        <v>193</v>
      </c>
      <c r="O31" s="218"/>
    </row>
    <row r="32" spans="1:15" s="1934" customFormat="1" ht="15" customHeight="1" x14ac:dyDescent="0.2">
      <c r="A32" s="3742"/>
      <c r="B32" s="220" t="s">
        <v>2</v>
      </c>
      <c r="C32" s="25"/>
      <c r="D32" s="233">
        <f t="shared" ref="D32:I32" si="24">+D33+D35</f>
        <v>100000</v>
      </c>
      <c r="E32" s="234">
        <f t="shared" si="24"/>
        <v>0</v>
      </c>
      <c r="F32" s="234">
        <f t="shared" si="24"/>
        <v>43900</v>
      </c>
      <c r="G32" s="234">
        <f t="shared" si="24"/>
        <v>56100</v>
      </c>
      <c r="H32" s="235">
        <f t="shared" si="24"/>
        <v>0</v>
      </c>
      <c r="I32" s="233">
        <f t="shared" si="24"/>
        <v>1484</v>
      </c>
      <c r="J32" s="743">
        <f t="shared" ref="J32:J38" si="25">I32/D32*100</f>
        <v>1.484</v>
      </c>
      <c r="K32" s="234">
        <f>+K33+K35</f>
        <v>13684</v>
      </c>
      <c r="L32" s="743">
        <f t="shared" ref="L32:L36" si="26">K32/G32*100</f>
        <v>24.3921568627451</v>
      </c>
      <c r="M32" s="234">
        <f t="shared" ref="M32:M38" si="27">+K32-G32</f>
        <v>-42416</v>
      </c>
      <c r="N32" s="3713"/>
      <c r="O32" s="218"/>
    </row>
    <row r="33" spans="1:15" s="1934" customFormat="1" ht="15" customHeight="1" x14ac:dyDescent="0.2">
      <c r="A33" s="3742"/>
      <c r="B33" s="242" t="s">
        <v>17</v>
      </c>
      <c r="C33" s="3100" t="s">
        <v>323</v>
      </c>
      <c r="D33" s="277">
        <f t="shared" ref="D33:I33" si="28">+D34</f>
        <v>15000</v>
      </c>
      <c r="E33" s="278">
        <f t="shared" si="28"/>
        <v>0</v>
      </c>
      <c r="F33" s="278">
        <f t="shared" si="28"/>
        <v>6585</v>
      </c>
      <c r="G33" s="842">
        <f t="shared" si="28"/>
        <v>8415</v>
      </c>
      <c r="H33" s="333">
        <f t="shared" si="28"/>
        <v>0</v>
      </c>
      <c r="I33" s="277">
        <f t="shared" si="28"/>
        <v>223</v>
      </c>
      <c r="J33" s="1820">
        <f t="shared" si="25"/>
        <v>1.4866666666666668</v>
      </c>
      <c r="K33" s="278">
        <f>+K34</f>
        <v>2053</v>
      </c>
      <c r="L33" s="1820">
        <f t="shared" si="26"/>
        <v>24.396910279263221</v>
      </c>
      <c r="M33" s="278">
        <f t="shared" si="27"/>
        <v>-6362</v>
      </c>
      <c r="N33" s="3713"/>
      <c r="O33" s="218"/>
    </row>
    <row r="34" spans="1:15" s="1934" customFormat="1" ht="15" customHeight="1" x14ac:dyDescent="0.2">
      <c r="A34" s="3742"/>
      <c r="B34" s="243" t="s">
        <v>4</v>
      </c>
      <c r="C34" s="3101"/>
      <c r="D34" s="244">
        <f>+E34+F34+G34+H34</f>
        <v>15000</v>
      </c>
      <c r="E34" s="779">
        <v>0</v>
      </c>
      <c r="F34" s="779">
        <v>6585</v>
      </c>
      <c r="G34" s="779">
        <v>8415</v>
      </c>
      <c r="H34" s="1214">
        <v>0</v>
      </c>
      <c r="I34" s="1587">
        <f>K34+E34+F34-8415</f>
        <v>223</v>
      </c>
      <c r="J34" s="780">
        <f t="shared" si="25"/>
        <v>1.4866666666666668</v>
      </c>
      <c r="K34" s="779">
        <v>2053</v>
      </c>
      <c r="L34" s="780">
        <f t="shared" si="26"/>
        <v>24.396910279263221</v>
      </c>
      <c r="M34" s="779">
        <f t="shared" si="27"/>
        <v>-6362</v>
      </c>
      <c r="N34" s="3713"/>
      <c r="O34" s="218"/>
    </row>
    <row r="35" spans="1:15" s="1934" customFormat="1" ht="15" customHeight="1" x14ac:dyDescent="0.2">
      <c r="A35" s="3742"/>
      <c r="B35" s="253" t="s">
        <v>12</v>
      </c>
      <c r="C35" s="3101"/>
      <c r="D35" s="254">
        <f>+D36</f>
        <v>85000</v>
      </c>
      <c r="E35" s="813">
        <f t="shared" ref="E35:H35" si="29">+E36</f>
        <v>0</v>
      </c>
      <c r="F35" s="813">
        <f t="shared" si="29"/>
        <v>37315</v>
      </c>
      <c r="G35" s="1087">
        <f t="shared" si="29"/>
        <v>47685</v>
      </c>
      <c r="H35" s="866">
        <f t="shared" si="29"/>
        <v>0</v>
      </c>
      <c r="I35" s="254">
        <f>+I36</f>
        <v>1261</v>
      </c>
      <c r="J35" s="144">
        <f t="shared" si="25"/>
        <v>1.483529411764706</v>
      </c>
      <c r="K35" s="255">
        <f>+K36</f>
        <v>11631</v>
      </c>
      <c r="L35" s="144">
        <f t="shared" si="26"/>
        <v>24.391318024536019</v>
      </c>
      <c r="M35" s="813">
        <f t="shared" si="27"/>
        <v>-36054</v>
      </c>
      <c r="N35" s="3713"/>
      <c r="O35" s="218"/>
    </row>
    <row r="36" spans="1:15" s="1934" customFormat="1" ht="15" customHeight="1" x14ac:dyDescent="0.2">
      <c r="A36" s="3742"/>
      <c r="B36" s="1854" t="s">
        <v>14</v>
      </c>
      <c r="C36" s="3101"/>
      <c r="D36" s="244">
        <f>+E36+F36+G36+H36</f>
        <v>85000</v>
      </c>
      <c r="E36" s="779">
        <v>0</v>
      </c>
      <c r="F36" s="779">
        <v>37315</v>
      </c>
      <c r="G36" s="779">
        <v>47685</v>
      </c>
      <c r="H36" s="1214">
        <v>0</v>
      </c>
      <c r="I36" s="1587">
        <f>K36+E36+F36-47685</f>
        <v>1261</v>
      </c>
      <c r="J36" s="780">
        <f t="shared" si="25"/>
        <v>1.483529411764706</v>
      </c>
      <c r="K36" s="779">
        <v>11631</v>
      </c>
      <c r="L36" s="780">
        <f t="shared" si="26"/>
        <v>24.391318024536019</v>
      </c>
      <c r="M36" s="779">
        <f t="shared" si="27"/>
        <v>-36054</v>
      </c>
      <c r="N36" s="3713"/>
      <c r="O36" s="218"/>
    </row>
    <row r="37" spans="1:15" s="1934" customFormat="1" ht="15" customHeight="1" x14ac:dyDescent="0.2">
      <c r="A37" s="3742"/>
      <c r="B37" s="220" t="s">
        <v>16</v>
      </c>
      <c r="C37" s="25"/>
      <c r="D37" s="233">
        <f>+D38</f>
        <v>85000</v>
      </c>
      <c r="E37" s="234">
        <f t="shared" ref="E37:H37" si="30">+E38</f>
        <v>0</v>
      </c>
      <c r="F37" s="234">
        <f>F38</f>
        <v>0</v>
      </c>
      <c r="G37" s="234">
        <f t="shared" si="30"/>
        <v>85000</v>
      </c>
      <c r="H37" s="235">
        <f t="shared" si="30"/>
        <v>0</v>
      </c>
      <c r="I37" s="233">
        <f>I38</f>
        <v>0</v>
      </c>
      <c r="J37" s="743">
        <f t="shared" si="25"/>
        <v>0</v>
      </c>
      <c r="K37" s="234">
        <f>K38</f>
        <v>0</v>
      </c>
      <c r="L37" s="743">
        <v>0</v>
      </c>
      <c r="M37" s="234">
        <f t="shared" si="27"/>
        <v>-85000</v>
      </c>
      <c r="N37" s="3713"/>
      <c r="O37" s="218"/>
    </row>
    <row r="38" spans="1:15" s="1934" customFormat="1" ht="15" customHeight="1" x14ac:dyDescent="0.2">
      <c r="A38" s="3742"/>
      <c r="B38" s="253" t="s">
        <v>12</v>
      </c>
      <c r="C38" s="3208" t="s">
        <v>324</v>
      </c>
      <c r="D38" s="254">
        <f>+D39</f>
        <v>85000</v>
      </c>
      <c r="E38" s="255">
        <f>+E39</f>
        <v>0</v>
      </c>
      <c r="F38" s="255">
        <f>+F39</f>
        <v>0</v>
      </c>
      <c r="G38" s="255">
        <f>+G39</f>
        <v>85000</v>
      </c>
      <c r="H38" s="286">
        <f>+H39</f>
        <v>0</v>
      </c>
      <c r="I38" s="254">
        <f>+I39</f>
        <v>0</v>
      </c>
      <c r="J38" s="26">
        <f t="shared" si="25"/>
        <v>0</v>
      </c>
      <c r="K38" s="255">
        <f>+K39</f>
        <v>0</v>
      </c>
      <c r="L38" s="26">
        <v>0</v>
      </c>
      <c r="M38" s="255">
        <f t="shared" si="27"/>
        <v>-85000</v>
      </c>
      <c r="N38" s="3713"/>
      <c r="O38" s="218"/>
    </row>
    <row r="39" spans="1:15" s="1934" customFormat="1" ht="15" customHeight="1" thickBot="1" x14ac:dyDescent="0.25">
      <c r="A39" s="3743"/>
      <c r="B39" s="2843" t="s">
        <v>14</v>
      </c>
      <c r="C39" s="3104"/>
      <c r="D39" s="262">
        <f>+E39+F39+G39+H39</f>
        <v>85000</v>
      </c>
      <c r="E39" s="263">
        <v>0</v>
      </c>
      <c r="F39" s="403">
        <v>0</v>
      </c>
      <c r="G39" s="263">
        <v>85000</v>
      </c>
      <c r="H39" s="1210">
        <v>0</v>
      </c>
      <c r="I39" s="1613">
        <f>K39+E39+F39</f>
        <v>0</v>
      </c>
      <c r="J39" s="1847">
        <v>0</v>
      </c>
      <c r="K39" s="403">
        <v>0</v>
      </c>
      <c r="L39" s="1847">
        <v>0</v>
      </c>
      <c r="M39" s="263"/>
      <c r="N39" s="3714"/>
      <c r="O39" s="218"/>
    </row>
    <row r="40" spans="1:15" ht="57" customHeight="1" x14ac:dyDescent="0.2">
      <c r="A40" s="3715" t="s">
        <v>40</v>
      </c>
      <c r="B40" s="2837" t="s">
        <v>196</v>
      </c>
      <c r="C40" s="2838" t="s">
        <v>171</v>
      </c>
      <c r="D40" s="2841"/>
      <c r="E40" s="2839"/>
      <c r="F40" s="2839"/>
      <c r="G40" s="2839"/>
      <c r="H40" s="2845"/>
      <c r="I40" s="2846"/>
      <c r="J40" s="1815"/>
      <c r="K40" s="2842"/>
      <c r="L40" s="1815"/>
      <c r="M40" s="2840"/>
      <c r="N40" s="3712" t="s">
        <v>193</v>
      </c>
      <c r="O40" s="218"/>
    </row>
    <row r="41" spans="1:15" ht="15.75" customHeight="1" x14ac:dyDescent="0.2">
      <c r="A41" s="3735"/>
      <c r="B41" s="220" t="s">
        <v>2</v>
      </c>
      <c r="C41" s="25"/>
      <c r="D41" s="233">
        <f t="shared" ref="D41:D47" si="31">E41+F41+G41+H41</f>
        <v>800000</v>
      </c>
      <c r="E41" s="234">
        <f>E42+E44</f>
        <v>103502</v>
      </c>
      <c r="F41" s="234">
        <f>F42+F44</f>
        <v>482017</v>
      </c>
      <c r="G41" s="241">
        <f>G42+G44</f>
        <v>214481</v>
      </c>
      <c r="H41" s="235">
        <f>H42+H44</f>
        <v>0</v>
      </c>
      <c r="I41" s="742">
        <f>+I42+I44</f>
        <v>461838</v>
      </c>
      <c r="J41" s="743">
        <f t="shared" ref="J41:J48" si="32">I41/D41*100</f>
        <v>57.729750000000003</v>
      </c>
      <c r="K41" s="234">
        <f>K42+K44</f>
        <v>58729</v>
      </c>
      <c r="L41" s="743">
        <f t="shared" ref="L41:L48" si="33">K41/G41*100</f>
        <v>27.3819126169684</v>
      </c>
      <c r="M41" s="241">
        <f t="shared" ref="M41:M55" si="34">+K41-G41</f>
        <v>-155752</v>
      </c>
      <c r="N41" s="3713"/>
      <c r="O41" s="218"/>
    </row>
    <row r="42" spans="1:15" ht="15.75" customHeight="1" thickBot="1" x14ac:dyDescent="0.25">
      <c r="A42" s="3735"/>
      <c r="B42" s="242" t="s">
        <v>17</v>
      </c>
      <c r="C42" s="3100" t="s">
        <v>194</v>
      </c>
      <c r="D42" s="277">
        <f t="shared" si="31"/>
        <v>120000</v>
      </c>
      <c r="E42" s="842">
        <f>E43</f>
        <v>15523</v>
      </c>
      <c r="F42" s="278">
        <f>F43</f>
        <v>72303</v>
      </c>
      <c r="G42" s="288">
        <f>G43</f>
        <v>32174</v>
      </c>
      <c r="H42" s="333">
        <f>H43</f>
        <v>0</v>
      </c>
      <c r="I42" s="863">
        <f>+I43</f>
        <v>69274</v>
      </c>
      <c r="J42" s="1820">
        <f t="shared" si="32"/>
        <v>57.728333333333339</v>
      </c>
      <c r="K42" s="1821">
        <f>K43</f>
        <v>8810</v>
      </c>
      <c r="L42" s="1820">
        <f t="shared" si="33"/>
        <v>27.382358426058307</v>
      </c>
      <c r="M42" s="288">
        <f t="shared" si="34"/>
        <v>-23364</v>
      </c>
      <c r="N42" s="3713"/>
      <c r="O42" s="218"/>
    </row>
    <row r="43" spans="1:15" ht="15.75" customHeight="1" x14ac:dyDescent="0.2">
      <c r="A43" s="3737"/>
      <c r="B43" s="243" t="s">
        <v>4</v>
      </c>
      <c r="C43" s="3101"/>
      <c r="D43" s="244">
        <f t="shared" si="31"/>
        <v>120000</v>
      </c>
      <c r="E43" s="779">
        <v>15523</v>
      </c>
      <c r="F43" s="779">
        <v>72303</v>
      </c>
      <c r="G43" s="247">
        <v>32174</v>
      </c>
      <c r="H43" s="1214">
        <v>0</v>
      </c>
      <c r="I43" s="2847">
        <f>K43+E43+F43-27362</f>
        <v>69274</v>
      </c>
      <c r="J43" s="780">
        <f t="shared" si="32"/>
        <v>57.728333333333339</v>
      </c>
      <c r="K43" s="779">
        <v>8810</v>
      </c>
      <c r="L43" s="780">
        <f t="shared" si="33"/>
        <v>27.382358426058307</v>
      </c>
      <c r="M43" s="247">
        <f t="shared" si="34"/>
        <v>-23364</v>
      </c>
      <c r="N43" s="3712"/>
      <c r="O43" s="218"/>
    </row>
    <row r="44" spans="1:15" ht="15.75" customHeight="1" x14ac:dyDescent="0.2">
      <c r="A44" s="3735"/>
      <c r="B44" s="253" t="s">
        <v>12</v>
      </c>
      <c r="C44" s="3101"/>
      <c r="D44" s="254">
        <f t="shared" si="31"/>
        <v>680000</v>
      </c>
      <c r="E44" s="1087">
        <f>E45</f>
        <v>87979</v>
      </c>
      <c r="F44" s="813">
        <f>F45</f>
        <v>409714</v>
      </c>
      <c r="G44" s="814">
        <f>G45</f>
        <v>182307</v>
      </c>
      <c r="H44" s="866">
        <f>H45</f>
        <v>0</v>
      </c>
      <c r="I44" s="1348">
        <f>+I45</f>
        <v>392564</v>
      </c>
      <c r="J44" s="144">
        <f t="shared" si="32"/>
        <v>57.730000000000004</v>
      </c>
      <c r="K44" s="1087">
        <f>K45</f>
        <v>49919</v>
      </c>
      <c r="L44" s="144">
        <f t="shared" si="33"/>
        <v>27.381833939453777</v>
      </c>
      <c r="M44" s="814">
        <f t="shared" si="34"/>
        <v>-132388</v>
      </c>
      <c r="N44" s="3713"/>
      <c r="O44" s="218"/>
    </row>
    <row r="45" spans="1:15" ht="15.75" customHeight="1" thickBot="1" x14ac:dyDescent="0.25">
      <c r="A45" s="3735"/>
      <c r="B45" s="1854" t="s">
        <v>14</v>
      </c>
      <c r="C45" s="3101"/>
      <c r="D45" s="244">
        <f t="shared" si="31"/>
        <v>680000</v>
      </c>
      <c r="E45" s="779">
        <v>87979</v>
      </c>
      <c r="F45" s="779">
        <v>409714</v>
      </c>
      <c r="G45" s="247">
        <v>182307</v>
      </c>
      <c r="H45" s="1214">
        <v>0</v>
      </c>
      <c r="I45" s="2847">
        <f>K45+E45+F45-155048</f>
        <v>392564</v>
      </c>
      <c r="J45" s="780">
        <f t="shared" si="32"/>
        <v>57.730000000000004</v>
      </c>
      <c r="K45" s="779">
        <v>49919</v>
      </c>
      <c r="L45" s="780">
        <f t="shared" si="33"/>
        <v>27.381833939453777</v>
      </c>
      <c r="M45" s="247">
        <f t="shared" si="34"/>
        <v>-132388</v>
      </c>
      <c r="N45" s="3713"/>
      <c r="O45" s="218"/>
    </row>
    <row r="46" spans="1:15" ht="15.75" customHeight="1" x14ac:dyDescent="0.2">
      <c r="A46" s="3737"/>
      <c r="B46" s="220" t="s">
        <v>16</v>
      </c>
      <c r="C46" s="25"/>
      <c r="D46" s="233">
        <f t="shared" si="31"/>
        <v>680000</v>
      </c>
      <c r="E46" s="234">
        <v>0</v>
      </c>
      <c r="F46" s="234">
        <f t="shared" ref="F46:H47" si="35">F47</f>
        <v>100000</v>
      </c>
      <c r="G46" s="241">
        <f t="shared" si="35"/>
        <v>280000</v>
      </c>
      <c r="H46" s="235">
        <f t="shared" si="35"/>
        <v>300000</v>
      </c>
      <c r="I46" s="742">
        <f t="shared" ref="I46:I47" si="36">I47</f>
        <v>139612</v>
      </c>
      <c r="J46" s="743">
        <f t="shared" si="32"/>
        <v>20.531176470588235</v>
      </c>
      <c r="K46" s="234">
        <f>K47</f>
        <v>64397</v>
      </c>
      <c r="L46" s="743">
        <f t="shared" si="33"/>
        <v>22.998928571428571</v>
      </c>
      <c r="M46" s="241">
        <f t="shared" si="34"/>
        <v>-215603</v>
      </c>
      <c r="N46" s="3712"/>
      <c r="O46" s="218"/>
    </row>
    <row r="47" spans="1:15" ht="15.75" customHeight="1" x14ac:dyDescent="0.2">
      <c r="A47" s="3735"/>
      <c r="B47" s="253" t="s">
        <v>12</v>
      </c>
      <c r="C47" s="3208" t="s">
        <v>195</v>
      </c>
      <c r="D47" s="254">
        <f t="shared" si="31"/>
        <v>680000</v>
      </c>
      <c r="E47" s="255">
        <v>0</v>
      </c>
      <c r="F47" s="255">
        <f t="shared" si="35"/>
        <v>100000</v>
      </c>
      <c r="G47" s="259">
        <f t="shared" si="35"/>
        <v>280000</v>
      </c>
      <c r="H47" s="286">
        <f t="shared" si="35"/>
        <v>300000</v>
      </c>
      <c r="I47" s="1348">
        <f t="shared" si="36"/>
        <v>139612</v>
      </c>
      <c r="J47" s="26">
        <f t="shared" si="32"/>
        <v>20.531176470588235</v>
      </c>
      <c r="K47" s="255">
        <f>K48</f>
        <v>64397</v>
      </c>
      <c r="L47" s="26">
        <f t="shared" si="33"/>
        <v>22.998928571428571</v>
      </c>
      <c r="M47" s="259">
        <f t="shared" si="34"/>
        <v>-215603</v>
      </c>
      <c r="N47" s="3713"/>
      <c r="O47" s="218"/>
    </row>
    <row r="48" spans="1:15" ht="15.75" customHeight="1" thickBot="1" x14ac:dyDescent="0.25">
      <c r="A48" s="3738"/>
      <c r="B48" s="2848" t="s">
        <v>14</v>
      </c>
      <c r="C48" s="3740"/>
      <c r="D48" s="2849">
        <f>E48+F48+G48+H48</f>
        <v>680000</v>
      </c>
      <c r="E48" s="263">
        <v>0</v>
      </c>
      <c r="F48" s="2850">
        <v>100000</v>
      </c>
      <c r="G48" s="2851">
        <v>280000</v>
      </c>
      <c r="H48" s="2852">
        <v>300000</v>
      </c>
      <c r="I48" s="2853">
        <f>K48+E48+F48-24785</f>
        <v>139612</v>
      </c>
      <c r="J48" s="2854">
        <f t="shared" si="32"/>
        <v>20.531176470588235</v>
      </c>
      <c r="K48" s="2855">
        <v>64397</v>
      </c>
      <c r="L48" s="2854">
        <f t="shared" si="33"/>
        <v>22.998928571428571</v>
      </c>
      <c r="M48" s="265">
        <f t="shared" si="34"/>
        <v>-215603</v>
      </c>
      <c r="N48" s="3739"/>
      <c r="O48" s="218"/>
    </row>
    <row r="49" spans="1:15" ht="41.25" customHeight="1" x14ac:dyDescent="0.2">
      <c r="A49" s="3730" t="s">
        <v>41</v>
      </c>
      <c r="B49" s="2856" t="s">
        <v>197</v>
      </c>
      <c r="C49" s="2857" t="s">
        <v>171</v>
      </c>
      <c r="D49" s="2858"/>
      <c r="E49" s="2859"/>
      <c r="F49" s="2859"/>
      <c r="G49" s="2859"/>
      <c r="H49" s="2860"/>
      <c r="I49" s="2858"/>
      <c r="J49" s="2861"/>
      <c r="K49" s="2862"/>
      <c r="L49" s="2861"/>
      <c r="M49" s="2863">
        <f t="shared" si="34"/>
        <v>0</v>
      </c>
      <c r="N49" s="3713" t="s">
        <v>193</v>
      </c>
      <c r="O49" s="218"/>
    </row>
    <row r="50" spans="1:15" ht="15.75" customHeight="1" x14ac:dyDescent="0.2">
      <c r="A50" s="3731"/>
      <c r="B50" s="220" t="s">
        <v>2</v>
      </c>
      <c r="C50" s="2278"/>
      <c r="D50" s="1677">
        <f>+D51</f>
        <v>2470190</v>
      </c>
      <c r="E50" s="1675">
        <f t="shared" ref="E50:H51" si="37">E51</f>
        <v>11071</v>
      </c>
      <c r="F50" s="1675">
        <f t="shared" si="37"/>
        <v>1780775</v>
      </c>
      <c r="G50" s="1675">
        <f t="shared" si="37"/>
        <v>678344</v>
      </c>
      <c r="H50" s="2864">
        <f t="shared" si="37"/>
        <v>0</v>
      </c>
      <c r="I50" s="1677">
        <f>+I51</f>
        <v>1485311</v>
      </c>
      <c r="J50" s="2865">
        <f t="shared" ref="J50:J55" si="38">I50/D50*100</f>
        <v>60.129423242746505</v>
      </c>
      <c r="K50" s="1675">
        <f>K51</f>
        <v>37470</v>
      </c>
      <c r="L50" s="2865">
        <f t="shared" ref="L50:L55" si="39">K50/G50*100</f>
        <v>5.5237460639439577</v>
      </c>
      <c r="M50" s="1924">
        <f t="shared" si="34"/>
        <v>-640874</v>
      </c>
      <c r="N50" s="3713"/>
      <c r="O50" s="218"/>
    </row>
    <row r="51" spans="1:15" ht="15.75" customHeight="1" x14ac:dyDescent="0.2">
      <c r="A51" s="3731"/>
      <c r="B51" s="795" t="s">
        <v>12</v>
      </c>
      <c r="C51" s="3100" t="s">
        <v>194</v>
      </c>
      <c r="D51" s="1609">
        <f>+D52</f>
        <v>2470190</v>
      </c>
      <c r="E51" s="2866">
        <f t="shared" si="37"/>
        <v>11071</v>
      </c>
      <c r="F51" s="2866">
        <f t="shared" si="37"/>
        <v>1780775</v>
      </c>
      <c r="G51" s="2866">
        <f t="shared" si="37"/>
        <v>678344</v>
      </c>
      <c r="H51" s="2867">
        <f t="shared" si="37"/>
        <v>0</v>
      </c>
      <c r="I51" s="1609">
        <f>+I52</f>
        <v>1485311</v>
      </c>
      <c r="J51" s="2868">
        <f t="shared" si="38"/>
        <v>60.129423242746505</v>
      </c>
      <c r="K51" s="2866">
        <f>K52</f>
        <v>37470</v>
      </c>
      <c r="L51" s="2868">
        <f t="shared" si="39"/>
        <v>5.5237460639439577</v>
      </c>
      <c r="M51" s="2869">
        <f t="shared" si="34"/>
        <v>-640874</v>
      </c>
      <c r="N51" s="3713"/>
      <c r="O51" s="218"/>
    </row>
    <row r="52" spans="1:15" ht="15.75" customHeight="1" x14ac:dyDescent="0.2">
      <c r="A52" s="3731"/>
      <c r="B52" s="2870" t="s">
        <v>14</v>
      </c>
      <c r="C52" s="3188"/>
      <c r="D52" s="1535">
        <f>+E52+F52+G52+H52</f>
        <v>2470190</v>
      </c>
      <c r="E52" s="1589">
        <v>11071</v>
      </c>
      <c r="F52" s="1589">
        <v>1780775</v>
      </c>
      <c r="G52" s="1589">
        <v>678344</v>
      </c>
      <c r="H52" s="2871">
        <v>0</v>
      </c>
      <c r="I52" s="1587">
        <f>K52+E52+F52-344005</f>
        <v>1485311</v>
      </c>
      <c r="J52" s="2872">
        <f t="shared" si="38"/>
        <v>60.129423242746505</v>
      </c>
      <c r="K52" s="1589">
        <v>37470</v>
      </c>
      <c r="L52" s="2872">
        <f t="shared" si="39"/>
        <v>5.5237460639439577</v>
      </c>
      <c r="M52" s="1635">
        <f t="shared" si="34"/>
        <v>-640874</v>
      </c>
      <c r="N52" s="3713"/>
      <c r="O52" s="218"/>
    </row>
    <row r="53" spans="1:15" ht="15.75" customHeight="1" x14ac:dyDescent="0.2">
      <c r="A53" s="3731"/>
      <c r="B53" s="220" t="s">
        <v>16</v>
      </c>
      <c r="C53" s="2278"/>
      <c r="D53" s="233">
        <f>E53+F53+G53+H53</f>
        <v>2470190</v>
      </c>
      <c r="E53" s="234">
        <f t="shared" ref="E53:H54" si="40">E54</f>
        <v>0</v>
      </c>
      <c r="F53" s="234">
        <f t="shared" si="40"/>
        <v>1444123</v>
      </c>
      <c r="G53" s="234">
        <f t="shared" si="40"/>
        <v>945964</v>
      </c>
      <c r="H53" s="235">
        <f t="shared" si="40"/>
        <v>80103</v>
      </c>
      <c r="I53" s="233">
        <f t="shared" ref="I53:I54" si="41">I54</f>
        <v>1452347</v>
      </c>
      <c r="J53" s="743">
        <f t="shared" si="38"/>
        <v>58.794950995672401</v>
      </c>
      <c r="K53" s="234">
        <f>K54</f>
        <v>8224</v>
      </c>
      <c r="L53" s="2865">
        <f t="shared" si="39"/>
        <v>0.86937769302003043</v>
      </c>
      <c r="M53" s="241">
        <f t="shared" si="34"/>
        <v>-937740</v>
      </c>
      <c r="N53" s="3713"/>
      <c r="O53" s="218"/>
    </row>
    <row r="54" spans="1:15" ht="15.75" customHeight="1" x14ac:dyDescent="0.2">
      <c r="A54" s="3731"/>
      <c r="B54" s="253" t="s">
        <v>12</v>
      </c>
      <c r="C54" s="3677" t="s">
        <v>198</v>
      </c>
      <c r="D54" s="254">
        <f>E54+F54+G54+H54</f>
        <v>2470190</v>
      </c>
      <c r="E54" s="255">
        <f t="shared" si="40"/>
        <v>0</v>
      </c>
      <c r="F54" s="255">
        <f t="shared" si="40"/>
        <v>1444123</v>
      </c>
      <c r="G54" s="255">
        <f t="shared" si="40"/>
        <v>945964</v>
      </c>
      <c r="H54" s="286">
        <f t="shared" si="40"/>
        <v>80103</v>
      </c>
      <c r="I54" s="254">
        <f t="shared" si="41"/>
        <v>1452347</v>
      </c>
      <c r="J54" s="26">
        <f t="shared" si="38"/>
        <v>58.794950995672401</v>
      </c>
      <c r="K54" s="255">
        <f>K55</f>
        <v>8224</v>
      </c>
      <c r="L54" s="2868">
        <f t="shared" si="39"/>
        <v>0.86937769302003043</v>
      </c>
      <c r="M54" s="259">
        <f t="shared" si="34"/>
        <v>-937740</v>
      </c>
      <c r="N54" s="3713"/>
      <c r="O54" s="218"/>
    </row>
    <row r="55" spans="1:15" ht="15.75" customHeight="1" thickBot="1" x14ac:dyDescent="0.25">
      <c r="A55" s="3732"/>
      <c r="B55" s="1845" t="s">
        <v>14</v>
      </c>
      <c r="C55" s="3733"/>
      <c r="D55" s="262">
        <f>E55+F55+G55+H55</f>
        <v>2470190</v>
      </c>
      <c r="E55" s="263">
        <v>0</v>
      </c>
      <c r="F55" s="263">
        <v>1444123</v>
      </c>
      <c r="G55" s="263">
        <v>945964</v>
      </c>
      <c r="H55" s="1210">
        <v>80103</v>
      </c>
      <c r="I55" s="1613">
        <f>K55+E55+F55</f>
        <v>1452347</v>
      </c>
      <c r="J55" s="1847">
        <f t="shared" si="38"/>
        <v>58.794950995672401</v>
      </c>
      <c r="K55" s="403">
        <v>8224</v>
      </c>
      <c r="L55" s="2872">
        <f t="shared" si="39"/>
        <v>0.86937769302003043</v>
      </c>
      <c r="M55" s="265">
        <f t="shared" si="34"/>
        <v>-937740</v>
      </c>
      <c r="N55" s="3714"/>
      <c r="O55" s="218"/>
    </row>
    <row r="56" spans="1:15" ht="52.5" customHeight="1" thickBot="1" x14ac:dyDescent="0.25">
      <c r="A56" s="3734" t="s">
        <v>43</v>
      </c>
      <c r="B56" s="2837" t="s">
        <v>199</v>
      </c>
      <c r="C56" s="2838" t="s">
        <v>171</v>
      </c>
      <c r="D56" s="2841"/>
      <c r="E56" s="2839"/>
      <c r="F56" s="2839"/>
      <c r="G56" s="2839"/>
      <c r="H56" s="2845"/>
      <c r="I56" s="2841"/>
      <c r="J56" s="1815"/>
      <c r="K56" s="2842"/>
      <c r="L56" s="2842"/>
      <c r="M56" s="2840"/>
      <c r="N56" s="3712" t="s">
        <v>193</v>
      </c>
      <c r="O56" s="218"/>
    </row>
    <row r="57" spans="1:15" ht="15" customHeight="1" x14ac:dyDescent="0.2">
      <c r="A57" s="3716"/>
      <c r="B57" s="220" t="s">
        <v>2</v>
      </c>
      <c r="C57" s="25"/>
      <c r="D57" s="1677">
        <f>+D58</f>
        <v>5906630</v>
      </c>
      <c r="E57" s="1675">
        <f t="shared" ref="E57:H58" si="42">E58</f>
        <v>529595</v>
      </c>
      <c r="F57" s="1675">
        <f t="shared" si="42"/>
        <v>1743579</v>
      </c>
      <c r="G57" s="1675">
        <f t="shared" si="42"/>
        <v>3633456</v>
      </c>
      <c r="H57" s="2873">
        <f t="shared" si="42"/>
        <v>0</v>
      </c>
      <c r="I57" s="1677">
        <f>+I58</f>
        <v>1548871</v>
      </c>
      <c r="J57" s="2865">
        <f t="shared" ref="J57:J62" si="43">I57/D57*100</f>
        <v>26.222583774504244</v>
      </c>
      <c r="K57" s="1675">
        <f>K58</f>
        <v>114586</v>
      </c>
      <c r="L57" s="2865">
        <f t="shared" ref="L57:L62" si="44">K57/G57*100</f>
        <v>3.1536366478636313</v>
      </c>
      <c r="M57" s="1924">
        <f t="shared" ref="M57:M62" si="45">+K57-G57</f>
        <v>-3518870</v>
      </c>
      <c r="N57" s="3712"/>
      <c r="O57" s="218"/>
    </row>
    <row r="58" spans="1:15" ht="15" customHeight="1" thickBot="1" x14ac:dyDescent="0.25">
      <c r="A58" s="3717"/>
      <c r="B58" s="253" t="s">
        <v>12</v>
      </c>
      <c r="C58" s="3154" t="s">
        <v>194</v>
      </c>
      <c r="D58" s="1609">
        <f>+D59</f>
        <v>5906630</v>
      </c>
      <c r="E58" s="2866">
        <f t="shared" si="42"/>
        <v>529595</v>
      </c>
      <c r="F58" s="2866">
        <f t="shared" si="42"/>
        <v>1743579</v>
      </c>
      <c r="G58" s="2866">
        <f t="shared" si="42"/>
        <v>3633456</v>
      </c>
      <c r="H58" s="2874">
        <f t="shared" si="42"/>
        <v>0</v>
      </c>
      <c r="I58" s="1609">
        <f>+I59</f>
        <v>1548871</v>
      </c>
      <c r="J58" s="2868">
        <f t="shared" si="43"/>
        <v>26.222583774504244</v>
      </c>
      <c r="K58" s="2866">
        <f>K59</f>
        <v>114586</v>
      </c>
      <c r="L58" s="2868">
        <f t="shared" si="44"/>
        <v>3.1536366478636313</v>
      </c>
      <c r="M58" s="2869">
        <f t="shared" si="45"/>
        <v>-3518870</v>
      </c>
      <c r="N58" s="3714"/>
      <c r="O58" s="218"/>
    </row>
    <row r="59" spans="1:15" ht="15" customHeight="1" x14ac:dyDescent="0.2">
      <c r="A59" s="3715"/>
      <c r="B59" s="2875" t="s">
        <v>14</v>
      </c>
      <c r="C59" s="3156"/>
      <c r="D59" s="1535">
        <f>+E59+F59+G59+H59</f>
        <v>5906630</v>
      </c>
      <c r="E59" s="1589">
        <v>529595</v>
      </c>
      <c r="F59" s="1589">
        <v>1743579</v>
      </c>
      <c r="G59" s="1589">
        <v>3633456</v>
      </c>
      <c r="H59" s="2876">
        <v>0</v>
      </c>
      <c r="I59" s="1587">
        <f>K59+E59+F59-838889</f>
        <v>1548871</v>
      </c>
      <c r="J59" s="2872">
        <f t="shared" si="43"/>
        <v>26.222583774504244</v>
      </c>
      <c r="K59" s="1589">
        <v>114586</v>
      </c>
      <c r="L59" s="2872">
        <f t="shared" si="44"/>
        <v>3.1536366478636313</v>
      </c>
      <c r="M59" s="1635">
        <f t="shared" si="45"/>
        <v>-3518870</v>
      </c>
      <c r="N59" s="3712"/>
      <c r="O59" s="218"/>
    </row>
    <row r="60" spans="1:15" ht="15" customHeight="1" x14ac:dyDescent="0.2">
      <c r="A60" s="3716"/>
      <c r="B60" s="220" t="s">
        <v>16</v>
      </c>
      <c r="C60" s="25"/>
      <c r="D60" s="770">
        <f>E60+F60+G60+H60</f>
        <v>5906630</v>
      </c>
      <c r="E60" s="234">
        <f t="shared" ref="E60:I61" si="46">E61</f>
        <v>661660</v>
      </c>
      <c r="F60" s="234">
        <f t="shared" si="46"/>
        <v>1020682</v>
      </c>
      <c r="G60" s="234">
        <f t="shared" si="46"/>
        <v>3255748</v>
      </c>
      <c r="H60" s="867">
        <f t="shared" si="46"/>
        <v>968540</v>
      </c>
      <c r="I60" s="233">
        <f t="shared" si="46"/>
        <v>1690597</v>
      </c>
      <c r="J60" s="743">
        <f t="shared" si="43"/>
        <v>28.62202304867581</v>
      </c>
      <c r="K60" s="234">
        <f>K61</f>
        <v>8255</v>
      </c>
      <c r="L60" s="743">
        <f t="shared" si="44"/>
        <v>0.25355156480169844</v>
      </c>
      <c r="M60" s="241">
        <f t="shared" si="45"/>
        <v>-3247493</v>
      </c>
      <c r="N60" s="3713"/>
      <c r="O60" s="218"/>
    </row>
    <row r="61" spans="1:15" ht="15" customHeight="1" x14ac:dyDescent="0.2">
      <c r="A61" s="3716"/>
      <c r="B61" s="253" t="s">
        <v>12</v>
      </c>
      <c r="C61" s="3163" t="s">
        <v>198</v>
      </c>
      <c r="D61" s="1351">
        <f>E61+F61+G61+H61</f>
        <v>5906630</v>
      </c>
      <c r="E61" s="255">
        <f t="shared" si="46"/>
        <v>661660</v>
      </c>
      <c r="F61" s="255">
        <f t="shared" si="46"/>
        <v>1020682</v>
      </c>
      <c r="G61" s="255">
        <f t="shared" si="46"/>
        <v>3255748</v>
      </c>
      <c r="H61" s="868">
        <f t="shared" si="46"/>
        <v>968540</v>
      </c>
      <c r="I61" s="254">
        <f t="shared" si="46"/>
        <v>1690597</v>
      </c>
      <c r="J61" s="26">
        <f t="shared" si="43"/>
        <v>28.62202304867581</v>
      </c>
      <c r="K61" s="255">
        <f>K62</f>
        <v>8255</v>
      </c>
      <c r="L61" s="26">
        <f t="shared" si="44"/>
        <v>0.25355156480169844</v>
      </c>
      <c r="M61" s="259">
        <f t="shared" si="45"/>
        <v>-3247493</v>
      </c>
      <c r="N61" s="3713"/>
      <c r="O61" s="218"/>
    </row>
    <row r="62" spans="1:15" ht="15" customHeight="1" thickBot="1" x14ac:dyDescent="0.25">
      <c r="A62" s="3717"/>
      <c r="B62" s="1845" t="s">
        <v>14</v>
      </c>
      <c r="C62" s="3164"/>
      <c r="D62" s="262">
        <f>E62+F62+G62+H62</f>
        <v>5906630</v>
      </c>
      <c r="E62" s="263">
        <v>661660</v>
      </c>
      <c r="F62" s="263">
        <v>1020682</v>
      </c>
      <c r="G62" s="263">
        <v>3255748</v>
      </c>
      <c r="H62" s="2877">
        <v>968540</v>
      </c>
      <c r="I62" s="1613">
        <f>K62+E62+F62</f>
        <v>1690597</v>
      </c>
      <c r="J62" s="1847">
        <f t="shared" si="43"/>
        <v>28.62202304867581</v>
      </c>
      <c r="K62" s="403">
        <v>8255</v>
      </c>
      <c r="L62" s="1847">
        <f t="shared" si="44"/>
        <v>0.25355156480169844</v>
      </c>
      <c r="M62" s="265">
        <f t="shared" si="45"/>
        <v>-3247493</v>
      </c>
      <c r="N62" s="3714"/>
      <c r="O62" s="218"/>
    </row>
    <row r="63" spans="1:15" ht="57.75" customHeight="1" x14ac:dyDescent="0.2">
      <c r="A63" s="3715" t="s">
        <v>44</v>
      </c>
      <c r="B63" s="2837" t="s">
        <v>200</v>
      </c>
      <c r="C63" s="2838" t="s">
        <v>166</v>
      </c>
      <c r="D63" s="2841"/>
      <c r="E63" s="2839"/>
      <c r="F63" s="2839"/>
      <c r="G63" s="2839"/>
      <c r="H63" s="2845"/>
      <c r="I63" s="2841"/>
      <c r="J63" s="1815"/>
      <c r="K63" s="2842"/>
      <c r="L63" s="2878"/>
      <c r="M63" s="2839"/>
      <c r="N63" s="3712" t="s">
        <v>193</v>
      </c>
      <c r="O63" s="218"/>
    </row>
    <row r="64" spans="1:15" ht="14.25" customHeight="1" x14ac:dyDescent="0.2">
      <c r="A64" s="3716"/>
      <c r="B64" s="220" t="s">
        <v>2</v>
      </c>
      <c r="C64" s="25"/>
      <c r="D64" s="1677">
        <f>+D65</f>
        <v>33770</v>
      </c>
      <c r="E64" s="1923">
        <f t="shared" ref="E64:H65" si="47">E65</f>
        <v>0</v>
      </c>
      <c r="F64" s="1675">
        <f t="shared" si="47"/>
        <v>33770</v>
      </c>
      <c r="G64" s="1923">
        <f t="shared" si="47"/>
        <v>0</v>
      </c>
      <c r="H64" s="1923">
        <f t="shared" si="47"/>
        <v>0</v>
      </c>
      <c r="I64" s="1677">
        <f>+I65</f>
        <v>33770</v>
      </c>
      <c r="J64" s="2865">
        <f t="shared" ref="J64:J69" si="48">I64/D64*100</f>
        <v>100</v>
      </c>
      <c r="K64" s="1675">
        <f>K65</f>
        <v>0</v>
      </c>
      <c r="L64" s="1923">
        <f t="shared" ref="L64:L65" si="49">L65</f>
        <v>0</v>
      </c>
      <c r="M64" s="1675">
        <f t="shared" ref="M64:M69" si="50">+K64-G64</f>
        <v>0</v>
      </c>
      <c r="N64" s="3713"/>
      <c r="O64" s="218"/>
    </row>
    <row r="65" spans="1:15" ht="14.25" customHeight="1" x14ac:dyDescent="0.2">
      <c r="A65" s="3716"/>
      <c r="B65" s="253" t="s">
        <v>12</v>
      </c>
      <c r="C65" s="3100" t="s">
        <v>194</v>
      </c>
      <c r="D65" s="1609">
        <f>+D66</f>
        <v>33770</v>
      </c>
      <c r="E65" s="2879">
        <f t="shared" si="47"/>
        <v>0</v>
      </c>
      <c r="F65" s="2866">
        <f t="shared" si="47"/>
        <v>33770</v>
      </c>
      <c r="G65" s="2879">
        <f t="shared" si="47"/>
        <v>0</v>
      </c>
      <c r="H65" s="2879">
        <f t="shared" si="47"/>
        <v>0</v>
      </c>
      <c r="I65" s="1609">
        <f>+I66</f>
        <v>33770</v>
      </c>
      <c r="J65" s="2868">
        <f t="shared" si="48"/>
        <v>100</v>
      </c>
      <c r="K65" s="2866">
        <f>K66</f>
        <v>0</v>
      </c>
      <c r="L65" s="2879">
        <f t="shared" si="49"/>
        <v>0</v>
      </c>
      <c r="M65" s="2866">
        <f t="shared" si="50"/>
        <v>0</v>
      </c>
      <c r="N65" s="3713"/>
      <c r="O65" s="218"/>
    </row>
    <row r="66" spans="1:15" ht="14.25" customHeight="1" x14ac:dyDescent="0.2">
      <c r="A66" s="3716"/>
      <c r="B66" s="2875" t="s">
        <v>14</v>
      </c>
      <c r="C66" s="3188"/>
      <c r="D66" s="1535">
        <f>+E66+F66+G66+H66</f>
        <v>33770</v>
      </c>
      <c r="E66" s="2520">
        <v>0</v>
      </c>
      <c r="F66" s="1589">
        <v>33770</v>
      </c>
      <c r="G66" s="2520">
        <v>0</v>
      </c>
      <c r="H66" s="2520">
        <v>0</v>
      </c>
      <c r="I66" s="1587">
        <f>K66+E66+F66</f>
        <v>33770</v>
      </c>
      <c r="J66" s="2872">
        <f t="shared" si="48"/>
        <v>100</v>
      </c>
      <c r="K66" s="1589">
        <v>0</v>
      </c>
      <c r="L66" s="2520">
        <v>0</v>
      </c>
      <c r="M66" s="1589">
        <f t="shared" si="50"/>
        <v>0</v>
      </c>
      <c r="N66" s="3713"/>
      <c r="O66" s="218"/>
    </row>
    <row r="67" spans="1:15" ht="15" customHeight="1" x14ac:dyDescent="0.2">
      <c r="A67" s="3716"/>
      <c r="B67" s="220" t="s">
        <v>16</v>
      </c>
      <c r="C67" s="25"/>
      <c r="D67" s="770">
        <f>E67+F67+G67+H67</f>
        <v>33770</v>
      </c>
      <c r="E67" s="2880">
        <f t="shared" ref="E67:H68" si="51">E68</f>
        <v>0</v>
      </c>
      <c r="F67" s="2793">
        <f t="shared" si="51"/>
        <v>33770</v>
      </c>
      <c r="G67" s="2880">
        <f t="shared" si="51"/>
        <v>0</v>
      </c>
      <c r="H67" s="2880">
        <f t="shared" si="51"/>
        <v>0</v>
      </c>
      <c r="I67" s="742">
        <f t="shared" ref="I67:I68" si="52">I68</f>
        <v>33770</v>
      </c>
      <c r="J67" s="2865">
        <f t="shared" si="48"/>
        <v>100</v>
      </c>
      <c r="K67" s="1675">
        <f>K68</f>
        <v>0</v>
      </c>
      <c r="L67" s="2880">
        <f t="shared" ref="L67:L68" si="53">L68</f>
        <v>0</v>
      </c>
      <c r="M67" s="234">
        <f t="shared" si="50"/>
        <v>0</v>
      </c>
      <c r="N67" s="3713"/>
      <c r="O67" s="218"/>
    </row>
    <row r="68" spans="1:15" ht="12" customHeight="1" thickBot="1" x14ac:dyDescent="0.25">
      <c r="A68" s="3716"/>
      <c r="B68" s="795" t="s">
        <v>12</v>
      </c>
      <c r="C68" s="3163" t="s">
        <v>198</v>
      </c>
      <c r="D68" s="1609">
        <f>E68+F68+G68+H68</f>
        <v>33770</v>
      </c>
      <c r="E68" s="2879">
        <f t="shared" si="51"/>
        <v>0</v>
      </c>
      <c r="F68" s="2866">
        <f t="shared" si="51"/>
        <v>33770</v>
      </c>
      <c r="G68" s="2879">
        <f t="shared" si="51"/>
        <v>0</v>
      </c>
      <c r="H68" s="2879">
        <f t="shared" si="51"/>
        <v>0</v>
      </c>
      <c r="I68" s="1348">
        <f t="shared" si="52"/>
        <v>33770</v>
      </c>
      <c r="J68" s="2868">
        <f t="shared" si="48"/>
        <v>100</v>
      </c>
      <c r="K68" s="2866">
        <f>K69</f>
        <v>0</v>
      </c>
      <c r="L68" s="2879">
        <f t="shared" si="53"/>
        <v>0</v>
      </c>
      <c r="M68" s="255">
        <f t="shared" si="50"/>
        <v>0</v>
      </c>
      <c r="N68" s="3714"/>
      <c r="O68" s="218"/>
    </row>
    <row r="69" spans="1:15" ht="13.5" thickBot="1" x14ac:dyDescent="0.25">
      <c r="A69" s="3717"/>
      <c r="B69" s="2881" t="s">
        <v>14</v>
      </c>
      <c r="C69" s="3116"/>
      <c r="D69" s="406">
        <f>E69+F69+G69+H69</f>
        <v>33770</v>
      </c>
      <c r="E69" s="2882">
        <v>0</v>
      </c>
      <c r="F69" s="2883">
        <v>33770</v>
      </c>
      <c r="G69" s="2882">
        <v>0</v>
      </c>
      <c r="H69" s="2882">
        <v>0</v>
      </c>
      <c r="I69" s="2844">
        <f>K69+E69+F69</f>
        <v>33770</v>
      </c>
      <c r="J69" s="2884">
        <f t="shared" si="48"/>
        <v>100</v>
      </c>
      <c r="K69" s="1937">
        <v>0</v>
      </c>
      <c r="L69" s="2882">
        <v>0</v>
      </c>
      <c r="M69" s="263">
        <f t="shared" si="50"/>
        <v>0</v>
      </c>
      <c r="N69" s="3718"/>
      <c r="O69" s="218"/>
    </row>
    <row r="70" spans="1:15" ht="51" x14ac:dyDescent="0.2">
      <c r="A70" s="3715" t="s">
        <v>45</v>
      </c>
      <c r="B70" s="2837" t="s">
        <v>340</v>
      </c>
      <c r="C70" s="2838" t="s">
        <v>171</v>
      </c>
      <c r="D70" s="2841"/>
      <c r="E70" s="2839"/>
      <c r="F70" s="2839"/>
      <c r="G70" s="2839"/>
      <c r="H70" s="2845"/>
      <c r="I70" s="2841"/>
      <c r="J70" s="1815"/>
      <c r="K70" s="2842"/>
      <c r="L70" s="2878"/>
      <c r="M70" s="2839"/>
      <c r="N70" s="3712" t="s">
        <v>193</v>
      </c>
      <c r="O70" s="218"/>
    </row>
    <row r="71" spans="1:15" ht="12.75" x14ac:dyDescent="0.2">
      <c r="A71" s="3716"/>
      <c r="B71" s="220" t="s">
        <v>2</v>
      </c>
      <c r="C71" s="25"/>
      <c r="D71" s="1677">
        <f>+D72</f>
        <v>6000000</v>
      </c>
      <c r="E71" s="1923">
        <f t="shared" ref="E71:H72" si="54">E72</f>
        <v>0</v>
      </c>
      <c r="F71" s="1675">
        <f t="shared" si="54"/>
        <v>1022296</v>
      </c>
      <c r="G71" s="1675">
        <f t="shared" si="54"/>
        <v>4227704</v>
      </c>
      <c r="H71" s="2873">
        <f t="shared" si="54"/>
        <v>750000</v>
      </c>
      <c r="I71" s="1677">
        <f>+I72</f>
        <v>1002000</v>
      </c>
      <c r="J71" s="2865">
        <f t="shared" ref="J71:J76" si="55">I71/D71*100</f>
        <v>16.7</v>
      </c>
      <c r="K71" s="1675">
        <f>K72</f>
        <v>0</v>
      </c>
      <c r="L71" s="2885">
        <f t="shared" ref="L71:L73" si="56">K71/G71*100</f>
        <v>0</v>
      </c>
      <c r="M71" s="1675">
        <f t="shared" ref="M71:M76" si="57">+K71-G71</f>
        <v>-4227704</v>
      </c>
      <c r="N71" s="3713"/>
      <c r="O71" s="218"/>
    </row>
    <row r="72" spans="1:15" ht="12.75" x14ac:dyDescent="0.2">
      <c r="A72" s="3716"/>
      <c r="B72" s="253" t="s">
        <v>12</v>
      </c>
      <c r="C72" s="3100" t="s">
        <v>323</v>
      </c>
      <c r="D72" s="1609">
        <f>+D73</f>
        <v>6000000</v>
      </c>
      <c r="E72" s="2879">
        <f t="shared" si="54"/>
        <v>0</v>
      </c>
      <c r="F72" s="2866">
        <f t="shared" si="54"/>
        <v>1022296</v>
      </c>
      <c r="G72" s="2866">
        <f t="shared" si="54"/>
        <v>4227704</v>
      </c>
      <c r="H72" s="2874">
        <f t="shared" si="54"/>
        <v>750000</v>
      </c>
      <c r="I72" s="1609">
        <f>+I73</f>
        <v>1002000</v>
      </c>
      <c r="J72" s="2868">
        <f t="shared" si="55"/>
        <v>16.7</v>
      </c>
      <c r="K72" s="2866">
        <f>K73</f>
        <v>0</v>
      </c>
      <c r="L72" s="2886">
        <f t="shared" si="56"/>
        <v>0</v>
      </c>
      <c r="M72" s="2866">
        <f t="shared" si="57"/>
        <v>-4227704</v>
      </c>
      <c r="N72" s="3713"/>
      <c r="O72" s="218"/>
    </row>
    <row r="73" spans="1:15" ht="12.75" x14ac:dyDescent="0.2">
      <c r="A73" s="3716"/>
      <c r="B73" s="2875" t="s">
        <v>14</v>
      </c>
      <c r="C73" s="3188"/>
      <c r="D73" s="1535">
        <f>+E73+F73+G73+H73</f>
        <v>6000000</v>
      </c>
      <c r="E73" s="2520">
        <v>0</v>
      </c>
      <c r="F73" s="1589">
        <v>1022296</v>
      </c>
      <c r="G73" s="1589">
        <v>4227704</v>
      </c>
      <c r="H73" s="2876">
        <v>750000</v>
      </c>
      <c r="I73" s="1587">
        <v>1002000</v>
      </c>
      <c r="J73" s="2872">
        <f t="shared" si="55"/>
        <v>16.7</v>
      </c>
      <c r="K73" s="1589">
        <v>0</v>
      </c>
      <c r="L73" s="2887">
        <f t="shared" si="56"/>
        <v>0</v>
      </c>
      <c r="M73" s="1589">
        <f t="shared" si="57"/>
        <v>-4227704</v>
      </c>
      <c r="N73" s="3713"/>
      <c r="O73" s="218"/>
    </row>
    <row r="74" spans="1:15" ht="12.75" x14ac:dyDescent="0.2">
      <c r="A74" s="3716"/>
      <c r="B74" s="220" t="s">
        <v>16</v>
      </c>
      <c r="C74" s="25"/>
      <c r="D74" s="770">
        <f>E74+F74+G74+H74</f>
        <v>6000000</v>
      </c>
      <c r="E74" s="2880">
        <f t="shared" ref="E74:I75" si="58">E75</f>
        <v>0</v>
      </c>
      <c r="F74" s="2793">
        <f t="shared" si="58"/>
        <v>0</v>
      </c>
      <c r="G74" s="1675">
        <f t="shared" si="58"/>
        <v>4217574</v>
      </c>
      <c r="H74" s="1924">
        <f t="shared" si="58"/>
        <v>1782426</v>
      </c>
      <c r="I74" s="233">
        <f t="shared" si="58"/>
        <v>0</v>
      </c>
      <c r="J74" s="2865">
        <f t="shared" si="55"/>
        <v>0</v>
      </c>
      <c r="K74" s="1675">
        <f>K75</f>
        <v>0</v>
      </c>
      <c r="L74" s="2888" t="s">
        <v>335</v>
      </c>
      <c r="M74" s="234">
        <f t="shared" si="57"/>
        <v>-4217574</v>
      </c>
      <c r="N74" s="3713"/>
      <c r="O74" s="218"/>
    </row>
    <row r="75" spans="1:15" ht="13.5" thickBot="1" x14ac:dyDescent="0.25">
      <c r="A75" s="3716"/>
      <c r="B75" s="795" t="s">
        <v>12</v>
      </c>
      <c r="C75" s="3163" t="s">
        <v>34</v>
      </c>
      <c r="D75" s="1609">
        <f>E75+F75+G75+H75</f>
        <v>6000000</v>
      </c>
      <c r="E75" s="2879">
        <f t="shared" si="58"/>
        <v>0</v>
      </c>
      <c r="F75" s="2866">
        <f t="shared" si="58"/>
        <v>0</v>
      </c>
      <c r="G75" s="2866">
        <f t="shared" si="58"/>
        <v>4217574</v>
      </c>
      <c r="H75" s="2869">
        <f t="shared" si="58"/>
        <v>1782426</v>
      </c>
      <c r="I75" s="254">
        <f t="shared" si="58"/>
        <v>0</v>
      </c>
      <c r="J75" s="2868">
        <f t="shared" si="55"/>
        <v>0</v>
      </c>
      <c r="K75" s="2866">
        <f>K76</f>
        <v>0</v>
      </c>
      <c r="L75" s="2889" t="s">
        <v>335</v>
      </c>
      <c r="M75" s="255">
        <f t="shared" si="57"/>
        <v>-4217574</v>
      </c>
      <c r="N75" s="3714"/>
      <c r="O75" s="218"/>
    </row>
    <row r="76" spans="1:15" ht="13.5" thickBot="1" x14ac:dyDescent="0.25">
      <c r="A76" s="3717"/>
      <c r="B76" s="2881" t="s">
        <v>14</v>
      </c>
      <c r="C76" s="3116"/>
      <c r="D76" s="406">
        <f>E76+F76+G76+H76</f>
        <v>6000000</v>
      </c>
      <c r="E76" s="2882">
        <v>0</v>
      </c>
      <c r="F76" s="2883"/>
      <c r="G76" s="2890">
        <v>4217574</v>
      </c>
      <c r="H76" s="2890">
        <v>1782426</v>
      </c>
      <c r="I76" s="1613">
        <f>K76+E76+F76</f>
        <v>0</v>
      </c>
      <c r="J76" s="2884">
        <f t="shared" si="55"/>
        <v>0</v>
      </c>
      <c r="K76" s="1937">
        <v>0</v>
      </c>
      <c r="L76" s="2891" t="s">
        <v>335</v>
      </c>
      <c r="M76" s="263">
        <f t="shared" si="57"/>
        <v>-4217574</v>
      </c>
      <c r="N76" s="3718"/>
      <c r="O76" s="218"/>
    </row>
    <row r="77" spans="1:15" ht="12.75" x14ac:dyDescent="0.2">
      <c r="A77" s="2892"/>
      <c r="B77" s="2893"/>
      <c r="C77" s="2894"/>
      <c r="D77" s="2895"/>
      <c r="E77" s="2896"/>
      <c r="F77" s="2897"/>
      <c r="G77" s="2898"/>
      <c r="H77" s="2897"/>
      <c r="I77" s="2898"/>
      <c r="J77" s="2899"/>
      <c r="K77" s="2898"/>
      <c r="L77" s="2899"/>
      <c r="M77" s="2900"/>
      <c r="N77" s="2901"/>
      <c r="O77" s="218"/>
    </row>
    <row r="78" spans="1:15" ht="29.25" customHeight="1" thickBot="1" x14ac:dyDescent="0.25">
      <c r="A78" s="2902" t="s">
        <v>307</v>
      </c>
      <c r="B78" s="2903"/>
      <c r="C78" s="2904"/>
      <c r="D78" s="2905"/>
      <c r="E78" s="2903"/>
      <c r="F78" s="2903"/>
      <c r="G78" s="2906"/>
      <c r="H78" s="2907"/>
      <c r="I78" s="2908"/>
      <c r="J78" s="2909"/>
      <c r="K78" s="2910"/>
      <c r="L78" s="2910"/>
      <c r="M78" s="2911"/>
      <c r="N78" s="2912"/>
      <c r="O78" s="1750"/>
    </row>
    <row r="79" spans="1:15" ht="13.5" thickBot="1" x14ac:dyDescent="0.25">
      <c r="A79" s="2800"/>
      <c r="B79" s="600" t="s">
        <v>162</v>
      </c>
      <c r="C79" s="601"/>
      <c r="D79" s="602">
        <f t="shared" ref="D79:I79" si="59">D80+D81</f>
        <v>8404000</v>
      </c>
      <c r="E79" s="603" t="e">
        <f t="shared" si="59"/>
        <v>#REF!</v>
      </c>
      <c r="F79" s="603" t="e">
        <f t="shared" si="59"/>
        <v>#REF!</v>
      </c>
      <c r="G79" s="603">
        <f t="shared" si="59"/>
        <v>2798000</v>
      </c>
      <c r="H79" s="606">
        <f>H80+H81</f>
        <v>5606000</v>
      </c>
      <c r="I79" s="602">
        <f t="shared" si="59"/>
        <v>590000</v>
      </c>
      <c r="J79" s="2427">
        <f t="shared" ref="J79:J84" si="60">I79/D79*100</f>
        <v>7.0204664445502134</v>
      </c>
      <c r="K79" s="603">
        <f>K80+K81</f>
        <v>590000</v>
      </c>
      <c r="L79" s="2913" t="s">
        <v>335</v>
      </c>
      <c r="M79" s="605">
        <f t="shared" ref="M79:M84" si="61">+K79-G79*0.5</f>
        <v>-809000</v>
      </c>
      <c r="N79" s="2914"/>
      <c r="O79" s="1750"/>
    </row>
    <row r="80" spans="1:15" ht="13.5" thickTop="1" x14ac:dyDescent="0.2">
      <c r="A80" s="2802"/>
      <c r="B80" s="613" t="s">
        <v>163</v>
      </c>
      <c r="C80" s="614"/>
      <c r="D80" s="39">
        <f>D86+D95+D104</f>
        <v>8404000</v>
      </c>
      <c r="E80" s="617" t="e">
        <f>E86+E95+E104+#REF!</f>
        <v>#REF!</v>
      </c>
      <c r="F80" s="617" t="e">
        <f>F86+F95+F104+#REF!</f>
        <v>#REF!</v>
      </c>
      <c r="G80" s="617">
        <f>G86</f>
        <v>2798000</v>
      </c>
      <c r="H80" s="45">
        <f>H86</f>
        <v>5606000</v>
      </c>
      <c r="I80" s="39">
        <f>I86</f>
        <v>590000</v>
      </c>
      <c r="J80" s="2430">
        <f t="shared" si="60"/>
        <v>7.0204664445502134</v>
      </c>
      <c r="K80" s="617">
        <f>K86</f>
        <v>590000</v>
      </c>
      <c r="L80" s="2915" t="s">
        <v>335</v>
      </c>
      <c r="M80" s="617">
        <f t="shared" si="61"/>
        <v>-809000</v>
      </c>
      <c r="N80" s="2804"/>
      <c r="O80" s="1750"/>
    </row>
    <row r="81" spans="1:15" ht="13.5" thickBot="1" x14ac:dyDescent="0.25">
      <c r="A81" s="2802"/>
      <c r="B81" s="1997" t="s">
        <v>164</v>
      </c>
      <c r="C81" s="1998"/>
      <c r="D81" s="3776">
        <v>0</v>
      </c>
      <c r="E81" s="3777" t="e">
        <f>+#REF!</f>
        <v>#REF!</v>
      </c>
      <c r="F81" s="3777" t="e">
        <f>+#REF!</f>
        <v>#REF!</v>
      </c>
      <c r="G81" s="3777">
        <v>0</v>
      </c>
      <c r="H81" s="3778">
        <v>0</v>
      </c>
      <c r="I81" s="3776">
        <v>0</v>
      </c>
      <c r="J81" s="3779" t="s">
        <v>335</v>
      </c>
      <c r="K81" s="3777">
        <v>0</v>
      </c>
      <c r="L81" s="2916" t="s">
        <v>335</v>
      </c>
      <c r="M81" s="413">
        <f t="shared" si="61"/>
        <v>0</v>
      </c>
      <c r="N81" s="2917"/>
      <c r="O81" s="1750"/>
    </row>
    <row r="82" spans="1:15" ht="12.75" x14ac:dyDescent="0.2">
      <c r="A82" s="3723"/>
      <c r="B82" s="2808" t="s">
        <v>2</v>
      </c>
      <c r="C82" s="2809"/>
      <c r="D82" s="2810">
        <f>D83</f>
        <v>8404000</v>
      </c>
      <c r="E82" s="1239">
        <f t="shared" ref="E82:H82" si="62">E83</f>
        <v>0</v>
      </c>
      <c r="F82" s="1239">
        <f t="shared" si="62"/>
        <v>0</v>
      </c>
      <c r="G82" s="1239">
        <f t="shared" si="62"/>
        <v>2798000</v>
      </c>
      <c r="H82" s="2918">
        <f t="shared" si="62"/>
        <v>5606000</v>
      </c>
      <c r="I82" s="2810">
        <f>I83</f>
        <v>590000</v>
      </c>
      <c r="J82" s="2443">
        <f t="shared" si="60"/>
        <v>7.0204664445502134</v>
      </c>
      <c r="K82" s="1241">
        <f>K83</f>
        <v>590000</v>
      </c>
      <c r="L82" s="2919" t="s">
        <v>335</v>
      </c>
      <c r="M82" s="1243">
        <f t="shared" si="61"/>
        <v>-809000</v>
      </c>
      <c r="N82" s="3725" t="s">
        <v>78</v>
      </c>
      <c r="O82" s="1750"/>
    </row>
    <row r="83" spans="1:15" ht="12.75" x14ac:dyDescent="0.2">
      <c r="A83" s="3724"/>
      <c r="B83" s="1245" t="s">
        <v>17</v>
      </c>
      <c r="C83" s="3728" t="s">
        <v>78</v>
      </c>
      <c r="D83" s="2813">
        <f>D84</f>
        <v>8404000</v>
      </c>
      <c r="E83" s="1247">
        <f>+E84</f>
        <v>0</v>
      </c>
      <c r="F83" s="1249">
        <f>+F84</f>
        <v>0</v>
      </c>
      <c r="G83" s="1251">
        <f>+G84</f>
        <v>2798000</v>
      </c>
      <c r="H83" s="1248">
        <f>+H84</f>
        <v>5606000</v>
      </c>
      <c r="I83" s="1260">
        <f>+I84</f>
        <v>590000</v>
      </c>
      <c r="J83" s="2451">
        <f t="shared" si="60"/>
        <v>7.0204664445502134</v>
      </c>
      <c r="K83" s="2920">
        <f>+K84</f>
        <v>590000</v>
      </c>
      <c r="L83" s="2921" t="s">
        <v>335</v>
      </c>
      <c r="M83" s="2816">
        <f t="shared" si="61"/>
        <v>-809000</v>
      </c>
      <c r="N83" s="3726"/>
      <c r="O83" s="1750"/>
    </row>
    <row r="84" spans="1:15" ht="13.5" thickBot="1" x14ac:dyDescent="0.25">
      <c r="A84" s="3724"/>
      <c r="B84" s="661" t="s">
        <v>215</v>
      </c>
      <c r="C84" s="3729"/>
      <c r="D84" s="2462">
        <f>D88</f>
        <v>8404000</v>
      </c>
      <c r="E84" s="2454">
        <f>E88+E97</f>
        <v>0</v>
      </c>
      <c r="F84" s="2922">
        <f>F88+F97</f>
        <v>0</v>
      </c>
      <c r="G84" s="1259">
        <f>G88</f>
        <v>2798000</v>
      </c>
      <c r="H84" s="2817">
        <f>H88</f>
        <v>5606000</v>
      </c>
      <c r="I84" s="2462">
        <f>I88</f>
        <v>590000</v>
      </c>
      <c r="J84" s="2455">
        <f t="shared" si="60"/>
        <v>7.0204664445502134</v>
      </c>
      <c r="K84" s="2922">
        <f>K88</f>
        <v>590000</v>
      </c>
      <c r="L84" s="2923" t="s">
        <v>335</v>
      </c>
      <c r="M84" s="1259">
        <f t="shared" si="61"/>
        <v>-809000</v>
      </c>
      <c r="N84" s="3727"/>
      <c r="O84" s="1750"/>
    </row>
    <row r="85" spans="1:15" ht="38.25" x14ac:dyDescent="0.2">
      <c r="A85" s="3719" t="s">
        <v>32</v>
      </c>
      <c r="B85" s="2924" t="s">
        <v>308</v>
      </c>
      <c r="C85" s="2838" t="s">
        <v>309</v>
      </c>
      <c r="D85" s="2841"/>
      <c r="E85" s="2839"/>
      <c r="F85" s="2839"/>
      <c r="G85" s="2839"/>
      <c r="H85" s="2845"/>
      <c r="I85" s="2841"/>
      <c r="J85" s="1815"/>
      <c r="K85" s="2842"/>
      <c r="L85" s="1815"/>
      <c r="M85" s="2925"/>
      <c r="N85" s="3712" t="s">
        <v>347</v>
      </c>
      <c r="O85" s="1750"/>
    </row>
    <row r="86" spans="1:15" ht="12.75" x14ac:dyDescent="0.2">
      <c r="A86" s="3720"/>
      <c r="B86" s="2926" t="s">
        <v>2</v>
      </c>
      <c r="C86" s="2927"/>
      <c r="D86" s="1677">
        <f>+D87</f>
        <v>8404000</v>
      </c>
      <c r="E86" s="1923">
        <f t="shared" ref="E86:H87" si="63">E87</f>
        <v>0</v>
      </c>
      <c r="F86" s="1675">
        <f t="shared" si="63"/>
        <v>0</v>
      </c>
      <c r="G86" s="1675">
        <f t="shared" si="63"/>
        <v>2798000</v>
      </c>
      <c r="H86" s="2873">
        <f t="shared" si="63"/>
        <v>5606000</v>
      </c>
      <c r="I86" s="1677">
        <f>+I87</f>
        <v>590000</v>
      </c>
      <c r="J86" s="2865">
        <f t="shared" ref="J86:J88" si="64">I86/D86*100</f>
        <v>7.0204664445502134</v>
      </c>
      <c r="K86" s="1675">
        <f>K87</f>
        <v>590000</v>
      </c>
      <c r="L86" s="2928" t="s">
        <v>335</v>
      </c>
      <c r="M86" s="1676">
        <f t="shared" ref="M86:M88" si="65">+K86-G86*0.5</f>
        <v>-809000</v>
      </c>
      <c r="N86" s="3713"/>
      <c r="O86" s="1750"/>
    </row>
    <row r="87" spans="1:15" ht="12.75" x14ac:dyDescent="0.2">
      <c r="A87" s="3720"/>
      <c r="B87" s="2929" t="s">
        <v>17</v>
      </c>
      <c r="C87" s="3100" t="s">
        <v>310</v>
      </c>
      <c r="D87" s="1609">
        <f>+D88</f>
        <v>8404000</v>
      </c>
      <c r="E87" s="2879">
        <f t="shared" si="63"/>
        <v>0</v>
      </c>
      <c r="F87" s="2866">
        <f t="shared" si="63"/>
        <v>0</v>
      </c>
      <c r="G87" s="2866">
        <f t="shared" si="63"/>
        <v>2798000</v>
      </c>
      <c r="H87" s="2874">
        <f t="shared" si="63"/>
        <v>5606000</v>
      </c>
      <c r="I87" s="1609">
        <f>+I88</f>
        <v>590000</v>
      </c>
      <c r="J87" s="2868">
        <f t="shared" si="64"/>
        <v>7.0204664445502134</v>
      </c>
      <c r="K87" s="2866">
        <f>K88</f>
        <v>590000</v>
      </c>
      <c r="L87" s="2930" t="s">
        <v>335</v>
      </c>
      <c r="M87" s="2931">
        <f t="shared" si="65"/>
        <v>-809000</v>
      </c>
      <c r="N87" s="3713"/>
      <c r="O87" s="1750"/>
    </row>
    <row r="88" spans="1:15" ht="13.5" thickBot="1" x14ac:dyDescent="0.25">
      <c r="A88" s="3721"/>
      <c r="B88" s="2932" t="s">
        <v>215</v>
      </c>
      <c r="C88" s="3722"/>
      <c r="D88" s="1559">
        <f>+E88+F88+G88+H88</f>
        <v>8404000</v>
      </c>
      <c r="E88" s="1938">
        <v>0</v>
      </c>
      <c r="F88" s="1937">
        <v>0</v>
      </c>
      <c r="G88" s="1937">
        <v>2798000</v>
      </c>
      <c r="H88" s="2933">
        <f>2778000+2828000</f>
        <v>5606000</v>
      </c>
      <c r="I88" s="1613">
        <f>K88+E88+F88</f>
        <v>590000</v>
      </c>
      <c r="J88" s="2884">
        <f t="shared" si="64"/>
        <v>7.0204664445502134</v>
      </c>
      <c r="K88" s="1937">
        <v>590000</v>
      </c>
      <c r="L88" s="2934" t="s">
        <v>335</v>
      </c>
      <c r="M88" s="2935">
        <f t="shared" si="65"/>
        <v>-809000</v>
      </c>
      <c r="N88" s="3714"/>
      <c r="O88" s="1750"/>
    </row>
    <row r="89" spans="1:15" x14ac:dyDescent="0.2">
      <c r="A89" s="2936"/>
      <c r="B89" s="2937"/>
      <c r="C89" s="1864"/>
      <c r="D89" s="2938"/>
      <c r="E89" s="2939"/>
      <c r="F89" s="2939"/>
      <c r="G89" s="2939"/>
      <c r="H89" s="2939"/>
      <c r="I89" s="1449"/>
      <c r="J89" s="2940"/>
      <c r="K89" s="2941"/>
      <c r="L89" s="2940"/>
      <c r="M89" s="2942"/>
      <c r="N89" s="2943"/>
      <c r="O89" s="1750"/>
    </row>
    <row r="90" spans="1:15" ht="12" customHeight="1" x14ac:dyDescent="0.2">
      <c r="A90" s="2936"/>
      <c r="B90" s="2937"/>
      <c r="C90" s="1864"/>
      <c r="D90" s="2938"/>
      <c r="E90" s="2939"/>
      <c r="F90" s="2939"/>
      <c r="G90" s="2939"/>
      <c r="H90" s="2939"/>
      <c r="I90" s="1449"/>
      <c r="J90" s="2940"/>
      <c r="K90" s="2941"/>
      <c r="L90" s="2940"/>
      <c r="M90" s="2942"/>
      <c r="N90" s="2943"/>
      <c r="O90" s="1750"/>
    </row>
    <row r="91" spans="1:15" ht="12" customHeight="1" x14ac:dyDescent="0.2">
      <c r="A91" s="2936"/>
      <c r="B91" s="2937"/>
      <c r="C91" s="1864"/>
      <c r="D91" s="2938"/>
      <c r="E91" s="2939"/>
      <c r="F91" s="2939"/>
      <c r="G91" s="2939"/>
      <c r="H91" s="2939"/>
      <c r="I91" s="1449"/>
      <c r="J91" s="2940"/>
      <c r="K91" s="2941"/>
      <c r="L91" s="2940"/>
      <c r="M91" s="2942"/>
      <c r="N91" s="2943"/>
      <c r="O91" s="1750"/>
    </row>
    <row r="92" spans="1:15" ht="12" customHeight="1" x14ac:dyDescent="0.2">
      <c r="A92" s="2936"/>
      <c r="B92" s="2937"/>
      <c r="C92" s="1864"/>
      <c r="D92" s="2938"/>
      <c r="E92" s="2939"/>
      <c r="F92" s="2939"/>
      <c r="G92" s="2939"/>
      <c r="H92" s="2939"/>
      <c r="I92" s="1449"/>
      <c r="J92" s="2940"/>
      <c r="K92" s="2941"/>
      <c r="L92" s="2940"/>
      <c r="M92" s="2942"/>
      <c r="N92" s="2943"/>
      <c r="O92" s="1750"/>
    </row>
    <row r="93" spans="1:15" ht="12" customHeight="1" x14ac:dyDescent="0.2">
      <c r="A93" s="2936"/>
      <c r="B93" s="2937"/>
      <c r="C93" s="1864"/>
      <c r="D93" s="2938"/>
      <c r="E93" s="2939"/>
      <c r="F93" s="2939"/>
      <c r="G93" s="2939"/>
      <c r="H93" s="2939"/>
      <c r="I93" s="1449"/>
      <c r="J93" s="2940"/>
      <c r="K93" s="2941"/>
      <c r="L93" s="2940"/>
      <c r="M93" s="2942"/>
      <c r="N93" s="2943"/>
      <c r="O93" s="1750"/>
    </row>
    <row r="94" spans="1:15" x14ac:dyDescent="0.2">
      <c r="A94" s="1749"/>
      <c r="B94" s="1750"/>
      <c r="C94" s="1750"/>
      <c r="D94" s="1750"/>
      <c r="E94" s="1750"/>
      <c r="F94" s="1750"/>
      <c r="G94" s="1750"/>
      <c r="H94" s="1750"/>
      <c r="I94" s="1750"/>
      <c r="J94" s="1750"/>
      <c r="N94" s="1976"/>
      <c r="O94" s="1750"/>
    </row>
    <row r="95" spans="1:15" x14ac:dyDescent="0.2">
      <c r="A95" s="1749"/>
      <c r="B95" s="1750"/>
      <c r="C95" s="1750"/>
      <c r="D95" s="1750"/>
      <c r="E95" s="1750"/>
      <c r="F95" s="1750"/>
      <c r="G95" s="1750"/>
      <c r="H95" s="1750"/>
      <c r="I95" s="1750"/>
      <c r="J95" s="1750"/>
      <c r="N95" s="1976"/>
      <c r="O95" s="1750"/>
    </row>
    <row r="96" spans="1:15" x14ac:dyDescent="0.2">
      <c r="A96" s="1749"/>
      <c r="B96" s="1750"/>
      <c r="C96" s="1750"/>
      <c r="D96" s="1750"/>
      <c r="E96" s="1750"/>
      <c r="F96" s="1750"/>
      <c r="G96" s="1750"/>
      <c r="H96" s="1750"/>
      <c r="I96" s="1750"/>
      <c r="J96" s="1750"/>
      <c r="N96" s="1976"/>
      <c r="O96" s="1750"/>
    </row>
    <row r="97" spans="1:15" x14ac:dyDescent="0.2">
      <c r="A97" s="1749"/>
      <c r="B97" s="1750"/>
      <c r="C97" s="1750"/>
      <c r="D97" s="1750"/>
      <c r="E97" s="1750"/>
      <c r="F97" s="1750"/>
      <c r="G97" s="1750"/>
      <c r="H97" s="1750"/>
      <c r="I97" s="1750"/>
      <c r="J97" s="1750"/>
      <c r="N97" s="1976"/>
      <c r="O97" s="1750"/>
    </row>
    <row r="98" spans="1:15" x14ac:dyDescent="0.2">
      <c r="A98" s="1749"/>
      <c r="B98" s="1750"/>
      <c r="C98" s="1750"/>
      <c r="D98" s="1750"/>
      <c r="E98" s="1750"/>
      <c r="F98" s="1750"/>
      <c r="G98" s="1750"/>
      <c r="H98" s="1750"/>
      <c r="I98" s="1750"/>
      <c r="J98" s="1750"/>
      <c r="N98" s="1976"/>
      <c r="O98" s="1750"/>
    </row>
    <row r="99" spans="1:15" x14ac:dyDescent="0.2">
      <c r="A99" s="1749"/>
      <c r="B99" s="1750"/>
      <c r="C99" s="1750"/>
      <c r="D99" s="1750"/>
      <c r="E99" s="1750"/>
      <c r="F99" s="1750"/>
      <c r="G99" s="1750"/>
      <c r="H99" s="1750"/>
      <c r="I99" s="1750"/>
      <c r="J99" s="1750"/>
      <c r="N99" s="1976"/>
      <c r="O99" s="1750"/>
    </row>
    <row r="100" spans="1:15" x14ac:dyDescent="0.2">
      <c r="A100" s="1749"/>
      <c r="B100" s="1750"/>
      <c r="C100" s="1750"/>
      <c r="D100" s="1750"/>
      <c r="E100" s="1750"/>
      <c r="F100" s="1750"/>
      <c r="G100" s="1750"/>
      <c r="H100" s="1750"/>
      <c r="I100" s="1750"/>
      <c r="J100" s="1750"/>
      <c r="N100" s="1976"/>
      <c r="O100" s="1750"/>
    </row>
    <row r="101" spans="1:15" x14ac:dyDescent="0.2">
      <c r="A101" s="1749"/>
      <c r="B101" s="1750"/>
      <c r="C101" s="1750"/>
      <c r="D101" s="1750"/>
      <c r="E101" s="1750"/>
      <c r="F101" s="1750"/>
      <c r="G101" s="1750"/>
      <c r="H101" s="1750"/>
      <c r="I101" s="1750"/>
      <c r="J101" s="1750"/>
      <c r="N101" s="1976"/>
      <c r="O101" s="1750"/>
    </row>
    <row r="102" spans="1:15" x14ac:dyDescent="0.2">
      <c r="A102" s="1749"/>
      <c r="B102" s="1750"/>
      <c r="C102" s="1750"/>
      <c r="D102" s="1750"/>
      <c r="E102" s="1750"/>
      <c r="F102" s="1750"/>
      <c r="G102" s="1750"/>
      <c r="H102" s="1750"/>
      <c r="I102" s="1750"/>
      <c r="J102" s="1750"/>
      <c r="N102" s="1976"/>
      <c r="O102" s="1750"/>
    </row>
    <row r="103" spans="1:15" x14ac:dyDescent="0.2">
      <c r="A103" s="1749"/>
      <c r="B103" s="1750"/>
      <c r="C103" s="1750"/>
      <c r="D103" s="1750"/>
      <c r="E103" s="1750"/>
      <c r="F103" s="1750"/>
      <c r="G103" s="1750"/>
      <c r="H103" s="1750"/>
      <c r="I103" s="1750"/>
      <c r="J103" s="1750"/>
      <c r="N103" s="1976"/>
      <c r="O103" s="1750"/>
    </row>
    <row r="104" spans="1:15" x14ac:dyDescent="0.2">
      <c r="A104" s="1749"/>
      <c r="B104" s="1750"/>
      <c r="C104" s="1750"/>
      <c r="D104" s="1750"/>
      <c r="E104" s="1750"/>
      <c r="F104" s="1750"/>
      <c r="G104" s="1750"/>
      <c r="H104" s="1750"/>
      <c r="I104" s="1750"/>
      <c r="J104" s="1750"/>
      <c r="N104" s="1976"/>
      <c r="O104" s="1750"/>
    </row>
    <row r="105" spans="1:15" x14ac:dyDescent="0.2">
      <c r="A105" s="1749"/>
      <c r="B105" s="1750"/>
      <c r="C105" s="1750"/>
      <c r="D105" s="1750"/>
      <c r="E105" s="1750"/>
      <c r="F105" s="1750"/>
      <c r="G105" s="1750"/>
      <c r="H105" s="1750"/>
      <c r="I105" s="1750"/>
      <c r="J105" s="1750"/>
      <c r="N105" s="1976"/>
      <c r="O105" s="1750"/>
    </row>
    <row r="106" spans="1:15" x14ac:dyDescent="0.2">
      <c r="A106" s="1749"/>
      <c r="B106" s="1750"/>
      <c r="C106" s="1750"/>
      <c r="D106" s="1750"/>
      <c r="E106" s="1750"/>
      <c r="F106" s="1750"/>
      <c r="G106" s="1750"/>
      <c r="H106" s="1750"/>
      <c r="I106" s="1750"/>
      <c r="J106" s="1750"/>
      <c r="N106" s="1976"/>
      <c r="O106" s="1750"/>
    </row>
    <row r="107" spans="1:15" x14ac:dyDescent="0.2">
      <c r="A107" s="1749"/>
      <c r="B107" s="1750"/>
      <c r="C107" s="1750"/>
      <c r="D107" s="1750"/>
      <c r="E107" s="1750"/>
      <c r="F107" s="1750"/>
      <c r="G107" s="1750"/>
      <c r="H107" s="1750"/>
      <c r="I107" s="1750"/>
      <c r="J107" s="1750"/>
      <c r="N107" s="1976"/>
      <c r="O107" s="1750"/>
    </row>
    <row r="108" spans="1:15" x14ac:dyDescent="0.2">
      <c r="I108" s="1750"/>
      <c r="J108" s="1750"/>
      <c r="N108" s="1976"/>
      <c r="O108" s="1750"/>
    </row>
    <row r="109" spans="1:15" x14ac:dyDescent="0.2">
      <c r="I109" s="1750"/>
      <c r="J109" s="1750"/>
      <c r="N109" s="1976"/>
      <c r="O109" s="1750"/>
    </row>
    <row r="110" spans="1:15" x14ac:dyDescent="0.2">
      <c r="I110" s="1750"/>
      <c r="J110" s="1750"/>
      <c r="N110" s="1976"/>
      <c r="O110" s="1750"/>
    </row>
    <row r="111" spans="1:15" x14ac:dyDescent="0.2">
      <c r="I111" s="1750"/>
      <c r="J111" s="1750"/>
      <c r="N111" s="1976"/>
      <c r="O111" s="1750"/>
    </row>
    <row r="112" spans="1:15" x14ac:dyDescent="0.2">
      <c r="I112" s="1750"/>
      <c r="J112" s="1750"/>
      <c r="N112" s="1976"/>
      <c r="O112" s="1750"/>
    </row>
    <row r="113" spans="9:15" x14ac:dyDescent="0.2">
      <c r="I113" s="1750"/>
      <c r="J113" s="1750"/>
      <c r="N113" s="1976"/>
      <c r="O113" s="1750"/>
    </row>
    <row r="114" spans="9:15" x14ac:dyDescent="0.2">
      <c r="I114" s="1750"/>
      <c r="J114" s="1750"/>
      <c r="N114" s="1976"/>
      <c r="O114" s="1750"/>
    </row>
    <row r="115" spans="9:15" x14ac:dyDescent="0.2">
      <c r="I115" s="1750"/>
      <c r="J115" s="1750"/>
      <c r="N115" s="1976"/>
      <c r="O115" s="1750"/>
    </row>
    <row r="116" spans="9:15" x14ac:dyDescent="0.2">
      <c r="I116" s="1750"/>
      <c r="J116" s="1750"/>
      <c r="N116" s="1976"/>
      <c r="O116" s="1750"/>
    </row>
    <row r="117" spans="9:15" x14ac:dyDescent="0.2">
      <c r="I117" s="1750"/>
      <c r="J117" s="1750"/>
      <c r="N117" s="1976"/>
      <c r="O117" s="1750"/>
    </row>
    <row r="118" spans="9:15" x14ac:dyDescent="0.2">
      <c r="I118" s="1750"/>
      <c r="J118" s="1750"/>
      <c r="N118" s="1976"/>
      <c r="O118" s="1750"/>
    </row>
    <row r="119" spans="9:15" x14ac:dyDescent="0.2">
      <c r="I119" s="1750"/>
      <c r="J119" s="1750"/>
      <c r="N119" s="1976"/>
      <c r="O119" s="1750"/>
    </row>
    <row r="120" spans="9:15" x14ac:dyDescent="0.2">
      <c r="I120" s="1750"/>
      <c r="J120" s="1750"/>
      <c r="N120" s="1976"/>
      <c r="O120" s="1750"/>
    </row>
    <row r="121" spans="9:15" x14ac:dyDescent="0.2">
      <c r="I121" s="1750"/>
      <c r="J121" s="1750"/>
      <c r="N121" s="1976"/>
      <c r="O121" s="1750"/>
    </row>
    <row r="122" spans="9:15" x14ac:dyDescent="0.2">
      <c r="I122" s="1750"/>
      <c r="J122" s="1750"/>
      <c r="N122" s="1976"/>
      <c r="O122" s="1750"/>
    </row>
    <row r="123" spans="9:15" x14ac:dyDescent="0.2">
      <c r="I123" s="1750"/>
      <c r="J123" s="1750"/>
      <c r="N123" s="1976"/>
      <c r="O123" s="1750"/>
    </row>
    <row r="124" spans="9:15" x14ac:dyDescent="0.2">
      <c r="I124" s="1750"/>
      <c r="J124" s="1750"/>
      <c r="N124" s="1976"/>
      <c r="O124" s="1750"/>
    </row>
    <row r="125" spans="9:15" x14ac:dyDescent="0.2">
      <c r="I125" s="1750"/>
      <c r="J125" s="1750"/>
      <c r="N125" s="1976"/>
      <c r="O125" s="1750"/>
    </row>
    <row r="126" spans="9:15" x14ac:dyDescent="0.2">
      <c r="I126" s="1750"/>
      <c r="J126" s="1750"/>
      <c r="N126" s="1976"/>
      <c r="O126" s="1750"/>
    </row>
    <row r="127" spans="9:15" x14ac:dyDescent="0.2">
      <c r="I127" s="1750"/>
      <c r="J127" s="1750"/>
      <c r="N127" s="1976"/>
      <c r="O127" s="1750"/>
    </row>
    <row r="128" spans="9:15" x14ac:dyDescent="0.2">
      <c r="I128" s="1750"/>
      <c r="J128" s="1750"/>
      <c r="N128" s="1976"/>
      <c r="O128" s="1750"/>
    </row>
    <row r="129" spans="9:15" x14ac:dyDescent="0.2">
      <c r="I129" s="1750"/>
      <c r="J129" s="1750"/>
      <c r="N129" s="1976"/>
      <c r="O129" s="1750"/>
    </row>
    <row r="130" spans="9:15" x14ac:dyDescent="0.2">
      <c r="I130" s="1750"/>
      <c r="J130" s="1750"/>
      <c r="N130" s="1976"/>
      <c r="O130" s="1750"/>
    </row>
    <row r="131" spans="9:15" x14ac:dyDescent="0.2">
      <c r="I131" s="1750"/>
      <c r="J131" s="1750"/>
      <c r="N131" s="1976"/>
      <c r="O131" s="1750"/>
    </row>
    <row r="132" spans="9:15" x14ac:dyDescent="0.2">
      <c r="I132" s="1750"/>
      <c r="J132" s="1750"/>
      <c r="N132" s="1976"/>
      <c r="O132" s="1750"/>
    </row>
    <row r="133" spans="9:15" x14ac:dyDescent="0.2">
      <c r="I133" s="1750"/>
      <c r="J133" s="1750"/>
      <c r="N133" s="1976"/>
      <c r="O133" s="1750"/>
    </row>
    <row r="134" spans="9:15" x14ac:dyDescent="0.2">
      <c r="I134" s="1750"/>
      <c r="J134" s="1750"/>
      <c r="N134" s="1976"/>
      <c r="O134" s="1750"/>
    </row>
    <row r="135" spans="9:15" x14ac:dyDescent="0.2">
      <c r="I135" s="1750"/>
      <c r="J135" s="1750"/>
      <c r="N135" s="1976"/>
      <c r="O135" s="1750"/>
    </row>
    <row r="136" spans="9:15" x14ac:dyDescent="0.2">
      <c r="I136" s="1750"/>
      <c r="J136" s="1750"/>
      <c r="N136" s="1976"/>
      <c r="O136" s="1750"/>
    </row>
    <row r="137" spans="9:15" x14ac:dyDescent="0.2">
      <c r="I137" s="1750"/>
      <c r="J137" s="1750"/>
      <c r="N137" s="1976"/>
      <c r="O137" s="1750"/>
    </row>
    <row r="138" spans="9:15" x14ac:dyDescent="0.2">
      <c r="I138" s="1750"/>
      <c r="J138" s="1750"/>
      <c r="N138" s="1976"/>
      <c r="O138" s="1750"/>
    </row>
    <row r="139" spans="9:15" x14ac:dyDescent="0.2">
      <c r="I139" s="1750"/>
      <c r="J139" s="1750"/>
      <c r="N139" s="1976"/>
      <c r="O139" s="1750"/>
    </row>
    <row r="140" spans="9:15" x14ac:dyDescent="0.2">
      <c r="I140" s="1750"/>
      <c r="J140" s="1750"/>
      <c r="N140" s="1976"/>
      <c r="O140" s="1750"/>
    </row>
    <row r="141" spans="9:15" x14ac:dyDescent="0.2">
      <c r="I141" s="1750"/>
      <c r="J141" s="1750"/>
      <c r="N141" s="1976"/>
      <c r="O141" s="1750"/>
    </row>
    <row r="142" spans="9:15" x14ac:dyDescent="0.2">
      <c r="I142" s="1750"/>
      <c r="J142" s="1750"/>
      <c r="N142" s="1976"/>
      <c r="O142" s="1750"/>
    </row>
    <row r="143" spans="9:15" x14ac:dyDescent="0.2">
      <c r="I143" s="1750"/>
      <c r="J143" s="1750"/>
      <c r="N143" s="1976"/>
      <c r="O143" s="1750"/>
    </row>
    <row r="144" spans="9:15" x14ac:dyDescent="0.2">
      <c r="I144" s="1750"/>
      <c r="J144" s="1750"/>
      <c r="N144" s="1976"/>
      <c r="O144" s="1750"/>
    </row>
    <row r="145" spans="9:15" x14ac:dyDescent="0.2">
      <c r="I145" s="1750"/>
      <c r="J145" s="1750"/>
      <c r="N145" s="1976"/>
      <c r="O145" s="1750"/>
    </row>
    <row r="146" spans="9:15" x14ac:dyDescent="0.2">
      <c r="I146" s="1750"/>
      <c r="J146" s="1750"/>
      <c r="N146" s="1976"/>
      <c r="O146" s="1750"/>
    </row>
    <row r="147" spans="9:15" x14ac:dyDescent="0.2">
      <c r="I147" s="1750"/>
      <c r="J147" s="1750"/>
      <c r="N147" s="1976"/>
      <c r="O147" s="1750"/>
    </row>
    <row r="148" spans="9:15" x14ac:dyDescent="0.2">
      <c r="I148" s="1750"/>
      <c r="J148" s="1750"/>
      <c r="N148" s="1976"/>
      <c r="O148" s="1750"/>
    </row>
    <row r="149" spans="9:15" x14ac:dyDescent="0.2">
      <c r="I149" s="1750"/>
      <c r="J149" s="1750"/>
      <c r="N149" s="1976"/>
      <c r="O149" s="1750"/>
    </row>
    <row r="150" spans="9:15" x14ac:dyDescent="0.2">
      <c r="I150" s="1750"/>
      <c r="J150" s="1750"/>
      <c r="N150" s="1976"/>
      <c r="O150" s="1750"/>
    </row>
    <row r="151" spans="9:15" x14ac:dyDescent="0.2">
      <c r="I151" s="1750"/>
      <c r="J151" s="1750"/>
      <c r="N151" s="1976"/>
      <c r="O151" s="1750"/>
    </row>
    <row r="152" spans="9:15" x14ac:dyDescent="0.2">
      <c r="I152" s="1750"/>
      <c r="J152" s="1750"/>
      <c r="N152" s="1976"/>
      <c r="O152" s="1750"/>
    </row>
    <row r="153" spans="9:15" x14ac:dyDescent="0.2">
      <c r="I153" s="1750"/>
      <c r="J153" s="1750"/>
      <c r="N153" s="1976"/>
      <c r="O153" s="1750"/>
    </row>
    <row r="154" spans="9:15" x14ac:dyDescent="0.2">
      <c r="I154" s="1750"/>
      <c r="J154" s="1750"/>
      <c r="N154" s="1976"/>
      <c r="O154" s="1750"/>
    </row>
    <row r="155" spans="9:15" x14ac:dyDescent="0.2">
      <c r="I155" s="1750"/>
      <c r="J155" s="1750"/>
      <c r="N155" s="1976"/>
      <c r="O155" s="1750"/>
    </row>
    <row r="156" spans="9:15" x14ac:dyDescent="0.2">
      <c r="I156" s="1750"/>
      <c r="J156" s="1750"/>
      <c r="N156" s="1976"/>
      <c r="O156" s="1750"/>
    </row>
    <row r="157" spans="9:15" x14ac:dyDescent="0.2">
      <c r="I157" s="1750"/>
      <c r="J157" s="1750"/>
      <c r="N157" s="1976"/>
      <c r="O157" s="1750"/>
    </row>
    <row r="158" spans="9:15" x14ac:dyDescent="0.2">
      <c r="I158" s="1750"/>
      <c r="J158" s="1750"/>
      <c r="N158" s="1976"/>
      <c r="O158" s="1750"/>
    </row>
    <row r="159" spans="9:15" x14ac:dyDescent="0.2">
      <c r="I159" s="1750"/>
      <c r="J159" s="1750"/>
      <c r="N159" s="1976"/>
      <c r="O159" s="1750"/>
    </row>
    <row r="160" spans="9:15" x14ac:dyDescent="0.2">
      <c r="I160" s="1750"/>
      <c r="J160" s="1750"/>
      <c r="N160" s="1976"/>
      <c r="O160" s="1750"/>
    </row>
    <row r="161" spans="9:15" x14ac:dyDescent="0.2">
      <c r="I161" s="1750"/>
      <c r="J161" s="1750"/>
      <c r="N161" s="1976"/>
      <c r="O161" s="1750"/>
    </row>
    <row r="162" spans="9:15" x14ac:dyDescent="0.2">
      <c r="I162" s="1750"/>
      <c r="J162" s="1750"/>
      <c r="N162" s="1976"/>
      <c r="O162" s="1750"/>
    </row>
    <row r="163" spans="9:15" x14ac:dyDescent="0.2">
      <c r="I163" s="1750"/>
      <c r="J163" s="1750"/>
      <c r="N163" s="1976"/>
      <c r="O163" s="1750"/>
    </row>
    <row r="164" spans="9:15" x14ac:dyDescent="0.2">
      <c r="I164" s="1750"/>
      <c r="J164" s="1750"/>
      <c r="N164" s="1976"/>
      <c r="O164" s="1750"/>
    </row>
    <row r="165" spans="9:15" x14ac:dyDescent="0.2">
      <c r="I165" s="1750"/>
      <c r="J165" s="1750"/>
      <c r="N165" s="1976"/>
      <c r="O165" s="1750"/>
    </row>
    <row r="166" spans="9:15" x14ac:dyDescent="0.2">
      <c r="I166" s="1750"/>
      <c r="J166" s="1750"/>
      <c r="N166" s="1976"/>
      <c r="O166" s="1750"/>
    </row>
    <row r="167" spans="9:15" x14ac:dyDescent="0.2">
      <c r="I167" s="1750"/>
      <c r="J167" s="1750"/>
      <c r="N167" s="1976"/>
      <c r="O167" s="1750"/>
    </row>
    <row r="168" spans="9:15" x14ac:dyDescent="0.2">
      <c r="I168" s="1750"/>
      <c r="J168" s="1750"/>
      <c r="N168" s="1976"/>
      <c r="O168" s="1750"/>
    </row>
    <row r="169" spans="9:15" x14ac:dyDescent="0.2">
      <c r="I169" s="1750"/>
      <c r="J169" s="1750"/>
      <c r="N169" s="1976"/>
      <c r="O169" s="1750"/>
    </row>
    <row r="170" spans="9:15" x14ac:dyDescent="0.2">
      <c r="I170" s="1750"/>
      <c r="J170" s="1750"/>
      <c r="N170" s="1976"/>
      <c r="O170" s="1750"/>
    </row>
    <row r="171" spans="9:15" x14ac:dyDescent="0.2">
      <c r="I171" s="1750"/>
      <c r="J171" s="1750"/>
      <c r="N171" s="1976"/>
      <c r="O171" s="1750"/>
    </row>
    <row r="172" spans="9:15" x14ac:dyDescent="0.2">
      <c r="I172" s="1750"/>
      <c r="J172" s="1750"/>
      <c r="N172" s="1976"/>
      <c r="O172" s="1750"/>
    </row>
    <row r="173" spans="9:15" x14ac:dyDescent="0.2">
      <c r="I173" s="1750"/>
      <c r="J173" s="1750"/>
      <c r="N173" s="1976"/>
      <c r="O173" s="1750"/>
    </row>
    <row r="174" spans="9:15" x14ac:dyDescent="0.2">
      <c r="I174" s="1750"/>
      <c r="J174" s="1750"/>
      <c r="N174" s="1976"/>
      <c r="O174" s="1750"/>
    </row>
    <row r="175" spans="9:15" x14ac:dyDescent="0.2">
      <c r="I175" s="1750"/>
      <c r="J175" s="1750"/>
      <c r="N175" s="1976"/>
      <c r="O175" s="1750"/>
    </row>
    <row r="176" spans="9:15" x14ac:dyDescent="0.2">
      <c r="I176" s="1750"/>
      <c r="J176" s="1750"/>
      <c r="N176" s="1976"/>
      <c r="O176" s="1750"/>
    </row>
    <row r="177" spans="9:15" x14ac:dyDescent="0.2">
      <c r="I177" s="1750"/>
      <c r="J177" s="1750"/>
      <c r="N177" s="1976"/>
      <c r="O177" s="1750"/>
    </row>
    <row r="178" spans="9:15" x14ac:dyDescent="0.2">
      <c r="I178" s="1750"/>
      <c r="J178" s="1750"/>
      <c r="N178" s="1976"/>
      <c r="O178" s="1750"/>
    </row>
    <row r="179" spans="9:15" x14ac:dyDescent="0.2">
      <c r="I179" s="1750"/>
      <c r="J179" s="1750"/>
      <c r="N179" s="1976"/>
      <c r="O179" s="1750"/>
    </row>
    <row r="180" spans="9:15" x14ac:dyDescent="0.2">
      <c r="I180" s="1750"/>
      <c r="J180" s="1750"/>
      <c r="N180" s="1976"/>
      <c r="O180" s="1750"/>
    </row>
    <row r="181" spans="9:15" x14ac:dyDescent="0.2">
      <c r="I181" s="1750"/>
      <c r="J181" s="1750"/>
      <c r="N181" s="1976"/>
      <c r="O181" s="1750"/>
    </row>
    <row r="182" spans="9:15" x14ac:dyDescent="0.2">
      <c r="I182" s="1750"/>
      <c r="J182" s="1750"/>
      <c r="N182" s="1976"/>
      <c r="O182" s="1750"/>
    </row>
    <row r="183" spans="9:15" x14ac:dyDescent="0.2">
      <c r="I183" s="1750"/>
      <c r="J183" s="1750"/>
      <c r="N183" s="1976"/>
      <c r="O183" s="1750"/>
    </row>
    <row r="184" spans="9:15" x14ac:dyDescent="0.2">
      <c r="I184" s="1750"/>
      <c r="J184" s="1750"/>
      <c r="N184" s="1976"/>
      <c r="O184" s="1750"/>
    </row>
    <row r="185" spans="9:15" x14ac:dyDescent="0.2">
      <c r="I185" s="1750"/>
      <c r="J185" s="1750"/>
      <c r="N185" s="1976"/>
      <c r="O185" s="1750"/>
    </row>
    <row r="186" spans="9:15" x14ac:dyDescent="0.2">
      <c r="I186" s="1750"/>
      <c r="J186" s="1750"/>
      <c r="N186" s="1976"/>
      <c r="O186" s="1750"/>
    </row>
    <row r="187" spans="9:15" x14ac:dyDescent="0.2">
      <c r="I187" s="1750"/>
      <c r="J187" s="1750"/>
      <c r="N187" s="1976"/>
      <c r="O187" s="1750"/>
    </row>
    <row r="188" spans="9:15" x14ac:dyDescent="0.2">
      <c r="I188" s="1750"/>
      <c r="J188" s="1750"/>
      <c r="N188" s="1976"/>
      <c r="O188" s="1750"/>
    </row>
    <row r="189" spans="9:15" x14ac:dyDescent="0.2">
      <c r="I189" s="1750"/>
      <c r="J189" s="1750"/>
      <c r="N189" s="1976"/>
      <c r="O189" s="1750"/>
    </row>
    <row r="190" spans="9:15" x14ac:dyDescent="0.2">
      <c r="I190" s="1750"/>
      <c r="J190" s="1750"/>
      <c r="N190" s="1976"/>
      <c r="O190" s="1750"/>
    </row>
    <row r="191" spans="9:15" x14ac:dyDescent="0.2">
      <c r="I191" s="1750"/>
      <c r="J191" s="1750"/>
      <c r="N191" s="1976"/>
      <c r="O191" s="1750"/>
    </row>
    <row r="192" spans="9:15" x14ac:dyDescent="0.2">
      <c r="I192" s="1750"/>
      <c r="J192" s="1750"/>
      <c r="N192" s="1976"/>
      <c r="O192" s="1750"/>
    </row>
    <row r="193" spans="9:15" x14ac:dyDescent="0.2">
      <c r="I193" s="1750"/>
      <c r="J193" s="1750"/>
      <c r="N193" s="1976"/>
      <c r="O193" s="1750"/>
    </row>
    <row r="194" spans="9:15" x14ac:dyDescent="0.2">
      <c r="I194" s="1750"/>
      <c r="J194" s="1750"/>
      <c r="N194" s="1976"/>
      <c r="O194" s="1750"/>
    </row>
    <row r="195" spans="9:15" x14ac:dyDescent="0.2">
      <c r="I195" s="1750"/>
      <c r="J195" s="1750"/>
      <c r="N195" s="1976"/>
      <c r="O195" s="1750"/>
    </row>
    <row r="196" spans="9:15" x14ac:dyDescent="0.2">
      <c r="I196" s="1750"/>
      <c r="J196" s="1750"/>
      <c r="N196" s="1976"/>
      <c r="O196" s="1750"/>
    </row>
    <row r="197" spans="9:15" x14ac:dyDescent="0.2">
      <c r="I197" s="1750"/>
      <c r="J197" s="1750"/>
      <c r="N197" s="1976"/>
      <c r="O197" s="1750"/>
    </row>
    <row r="198" spans="9:15" x14ac:dyDescent="0.2">
      <c r="I198" s="1750"/>
      <c r="J198" s="1750"/>
      <c r="N198" s="1976"/>
      <c r="O198" s="1750"/>
    </row>
    <row r="199" spans="9:15" x14ac:dyDescent="0.2">
      <c r="I199" s="1750"/>
      <c r="J199" s="1750"/>
      <c r="N199" s="1976"/>
      <c r="O199" s="1750"/>
    </row>
    <row r="200" spans="9:15" x14ac:dyDescent="0.2">
      <c r="I200" s="1750"/>
      <c r="J200" s="1750"/>
      <c r="N200" s="1976"/>
      <c r="O200" s="1750"/>
    </row>
    <row r="201" spans="9:15" x14ac:dyDescent="0.2">
      <c r="I201" s="1750"/>
      <c r="J201" s="1750"/>
      <c r="N201" s="1976"/>
      <c r="O201" s="1750"/>
    </row>
    <row r="202" spans="9:15" x14ac:dyDescent="0.2">
      <c r="I202" s="1750"/>
      <c r="J202" s="1750"/>
      <c r="N202" s="1976"/>
      <c r="O202" s="1750"/>
    </row>
    <row r="203" spans="9:15" x14ac:dyDescent="0.2">
      <c r="I203" s="1750"/>
      <c r="J203" s="1750"/>
      <c r="N203" s="1976"/>
      <c r="O203" s="1750"/>
    </row>
    <row r="204" spans="9:15" x14ac:dyDescent="0.2">
      <c r="I204" s="1750"/>
      <c r="J204" s="1750"/>
      <c r="N204" s="1976"/>
      <c r="O204" s="1750"/>
    </row>
    <row r="205" spans="9:15" x14ac:dyDescent="0.2">
      <c r="I205" s="1750"/>
      <c r="J205" s="1750"/>
      <c r="N205" s="1976"/>
      <c r="O205" s="1750"/>
    </row>
    <row r="206" spans="9:15" x14ac:dyDescent="0.2">
      <c r="I206" s="1750"/>
      <c r="J206" s="1750"/>
      <c r="N206" s="1976"/>
      <c r="O206" s="1750"/>
    </row>
    <row r="207" spans="9:15" x14ac:dyDescent="0.2">
      <c r="I207" s="1750"/>
      <c r="J207" s="1750"/>
      <c r="N207" s="1976"/>
      <c r="O207" s="1750"/>
    </row>
    <row r="208" spans="9:15" x14ac:dyDescent="0.2">
      <c r="I208" s="1750"/>
      <c r="J208" s="1750"/>
      <c r="N208" s="1976"/>
      <c r="O208" s="1750"/>
    </row>
    <row r="209" spans="9:15" x14ac:dyDescent="0.2">
      <c r="I209" s="1750"/>
      <c r="J209" s="1750"/>
      <c r="N209" s="1976"/>
      <c r="O209" s="1750"/>
    </row>
    <row r="210" spans="9:15" x14ac:dyDescent="0.2">
      <c r="I210" s="1750"/>
      <c r="J210" s="1750"/>
      <c r="N210" s="1976"/>
      <c r="O210" s="1750"/>
    </row>
    <row r="211" spans="9:15" x14ac:dyDescent="0.2">
      <c r="I211" s="1750"/>
      <c r="J211" s="1750"/>
      <c r="N211" s="1976"/>
      <c r="O211" s="1750"/>
    </row>
    <row r="212" spans="9:15" x14ac:dyDescent="0.2">
      <c r="I212" s="1750"/>
      <c r="J212" s="1750"/>
      <c r="N212" s="1976"/>
      <c r="O212" s="1750"/>
    </row>
    <row r="213" spans="9:15" x14ac:dyDescent="0.2">
      <c r="I213" s="1750"/>
      <c r="J213" s="1750"/>
      <c r="N213" s="1976"/>
      <c r="O213" s="1750"/>
    </row>
    <row r="214" spans="9:15" x14ac:dyDescent="0.2">
      <c r="I214" s="1750"/>
      <c r="J214" s="1750"/>
      <c r="N214" s="1976"/>
      <c r="O214" s="1750"/>
    </row>
    <row r="215" spans="9:15" x14ac:dyDescent="0.2">
      <c r="I215" s="1750"/>
      <c r="J215" s="1750"/>
      <c r="N215" s="1976"/>
      <c r="O215" s="1750"/>
    </row>
    <row r="216" spans="9:15" x14ac:dyDescent="0.2">
      <c r="I216" s="1750"/>
      <c r="J216" s="1750"/>
      <c r="N216" s="1976"/>
      <c r="O216" s="1750"/>
    </row>
    <row r="217" spans="9:15" x14ac:dyDescent="0.2">
      <c r="I217" s="1750"/>
      <c r="J217" s="1750"/>
      <c r="N217" s="1976"/>
      <c r="O217" s="1750"/>
    </row>
    <row r="218" spans="9:15" x14ac:dyDescent="0.2">
      <c r="I218" s="1750"/>
      <c r="J218" s="1750"/>
      <c r="N218" s="1976"/>
      <c r="O218" s="1750"/>
    </row>
    <row r="219" spans="9:15" x14ac:dyDescent="0.2">
      <c r="I219" s="1750"/>
      <c r="J219" s="1750"/>
      <c r="N219" s="1976"/>
      <c r="O219" s="1750"/>
    </row>
    <row r="220" spans="9:15" x14ac:dyDescent="0.2">
      <c r="I220" s="1750"/>
      <c r="J220" s="1750"/>
      <c r="N220" s="1976"/>
      <c r="O220" s="1750"/>
    </row>
    <row r="221" spans="9:15" x14ac:dyDescent="0.2">
      <c r="I221" s="1750"/>
      <c r="J221" s="1750"/>
      <c r="N221" s="1976"/>
      <c r="O221" s="1750"/>
    </row>
    <row r="222" spans="9:15" x14ac:dyDescent="0.2">
      <c r="I222" s="1750"/>
      <c r="J222" s="1750"/>
      <c r="N222" s="1976"/>
      <c r="O222" s="1750"/>
    </row>
    <row r="223" spans="9:15" x14ac:dyDescent="0.2">
      <c r="I223" s="1750"/>
      <c r="J223" s="1750"/>
      <c r="N223" s="1976"/>
      <c r="O223" s="1750"/>
    </row>
    <row r="224" spans="9:15" x14ac:dyDescent="0.2">
      <c r="I224" s="1750"/>
      <c r="J224" s="1750"/>
      <c r="N224" s="1976"/>
      <c r="O224" s="1750"/>
    </row>
    <row r="225" spans="9:15" x14ac:dyDescent="0.2">
      <c r="I225" s="1750"/>
      <c r="J225" s="1750"/>
      <c r="N225" s="1976"/>
      <c r="O225" s="1750"/>
    </row>
    <row r="226" spans="9:15" x14ac:dyDescent="0.2">
      <c r="I226" s="1750"/>
      <c r="J226" s="1750"/>
      <c r="N226" s="1976"/>
      <c r="O226" s="1750"/>
    </row>
    <row r="227" spans="9:15" x14ac:dyDescent="0.2">
      <c r="I227" s="1750"/>
      <c r="J227" s="1750"/>
      <c r="N227" s="1976"/>
      <c r="O227" s="1750"/>
    </row>
    <row r="228" spans="9:15" x14ac:dyDescent="0.2">
      <c r="I228" s="1750"/>
      <c r="J228" s="1750"/>
      <c r="N228" s="1976"/>
      <c r="O228" s="1750"/>
    </row>
    <row r="229" spans="9:15" x14ac:dyDescent="0.2">
      <c r="I229" s="1750"/>
      <c r="J229" s="1750"/>
      <c r="N229" s="1976"/>
      <c r="O229" s="1750"/>
    </row>
    <row r="230" spans="9:15" x14ac:dyDescent="0.2">
      <c r="I230" s="1750"/>
      <c r="J230" s="1750"/>
      <c r="N230" s="1976"/>
      <c r="O230" s="1750"/>
    </row>
    <row r="231" spans="9:15" x14ac:dyDescent="0.2">
      <c r="I231" s="1750"/>
      <c r="J231" s="1750"/>
      <c r="N231" s="1976"/>
      <c r="O231" s="1750"/>
    </row>
    <row r="232" spans="9:15" x14ac:dyDescent="0.2">
      <c r="I232" s="1750"/>
      <c r="J232" s="1750"/>
      <c r="N232" s="1976"/>
      <c r="O232" s="1750"/>
    </row>
    <row r="233" spans="9:15" x14ac:dyDescent="0.2">
      <c r="I233" s="1750"/>
      <c r="J233" s="1750"/>
      <c r="N233" s="1976"/>
      <c r="O233" s="1750"/>
    </row>
    <row r="234" spans="9:15" x14ac:dyDescent="0.2">
      <c r="I234" s="1750"/>
      <c r="J234" s="1750"/>
      <c r="N234" s="1976"/>
      <c r="O234" s="1750"/>
    </row>
    <row r="235" spans="9:15" x14ac:dyDescent="0.2">
      <c r="I235" s="1750"/>
      <c r="J235" s="1750"/>
      <c r="N235" s="1976"/>
      <c r="O235" s="1750"/>
    </row>
    <row r="236" spans="9:15" x14ac:dyDescent="0.2">
      <c r="I236" s="1750"/>
      <c r="J236" s="1750"/>
      <c r="N236" s="1976"/>
      <c r="O236" s="1750"/>
    </row>
    <row r="237" spans="9:15" x14ac:dyDescent="0.2">
      <c r="I237" s="1750"/>
      <c r="J237" s="1750"/>
      <c r="N237" s="1976"/>
      <c r="O237" s="1750"/>
    </row>
    <row r="238" spans="9:15" x14ac:dyDescent="0.2">
      <c r="I238" s="1750"/>
      <c r="J238" s="1750"/>
      <c r="N238" s="1976"/>
      <c r="O238" s="1750"/>
    </row>
    <row r="239" spans="9:15" x14ac:dyDescent="0.2">
      <c r="I239" s="1750"/>
      <c r="J239" s="1750"/>
      <c r="N239" s="1976"/>
      <c r="O239" s="1750"/>
    </row>
    <row r="240" spans="9:15" x14ac:dyDescent="0.2">
      <c r="I240" s="1750"/>
      <c r="J240" s="1750"/>
      <c r="N240" s="1976"/>
      <c r="O240" s="1750"/>
    </row>
    <row r="241" spans="9:15" x14ac:dyDescent="0.2">
      <c r="I241" s="1750"/>
      <c r="J241" s="1750"/>
      <c r="N241" s="1976"/>
      <c r="O241" s="1750"/>
    </row>
    <row r="242" spans="9:15" x14ac:dyDescent="0.2">
      <c r="I242" s="1750"/>
      <c r="J242" s="1750"/>
      <c r="N242" s="1976"/>
      <c r="O242" s="1750"/>
    </row>
    <row r="243" spans="9:15" x14ac:dyDescent="0.2">
      <c r="I243" s="1750"/>
      <c r="J243" s="1750"/>
      <c r="N243" s="1976"/>
      <c r="O243" s="1750"/>
    </row>
    <row r="244" spans="9:15" x14ac:dyDescent="0.2">
      <c r="I244" s="1750"/>
      <c r="J244" s="1750"/>
      <c r="N244" s="1976"/>
      <c r="O244" s="1750"/>
    </row>
    <row r="245" spans="9:15" x14ac:dyDescent="0.2">
      <c r="I245" s="1750"/>
      <c r="J245" s="1750"/>
      <c r="N245" s="1976"/>
      <c r="O245" s="1750"/>
    </row>
    <row r="246" spans="9:15" x14ac:dyDescent="0.2">
      <c r="I246" s="1750"/>
      <c r="J246" s="1750"/>
      <c r="N246" s="1976"/>
      <c r="O246" s="1750"/>
    </row>
    <row r="247" spans="9:15" x14ac:dyDescent="0.2">
      <c r="I247" s="1750"/>
      <c r="J247" s="1750"/>
      <c r="N247" s="1976"/>
      <c r="O247" s="1750"/>
    </row>
    <row r="248" spans="9:15" x14ac:dyDescent="0.2">
      <c r="I248" s="1750"/>
      <c r="J248" s="1750"/>
      <c r="N248" s="1976"/>
      <c r="O248" s="1750"/>
    </row>
    <row r="249" spans="9:15" x14ac:dyDescent="0.2">
      <c r="I249" s="1750"/>
      <c r="J249" s="1750"/>
      <c r="N249" s="1976"/>
      <c r="O249" s="1750"/>
    </row>
    <row r="250" spans="9:15" x14ac:dyDescent="0.2">
      <c r="I250" s="1750"/>
      <c r="J250" s="1750"/>
      <c r="N250" s="1976"/>
      <c r="O250" s="1750"/>
    </row>
    <row r="251" spans="9:15" x14ac:dyDescent="0.2">
      <c r="I251" s="1750"/>
      <c r="J251" s="1750"/>
      <c r="N251" s="1976"/>
      <c r="O251" s="1750"/>
    </row>
    <row r="252" spans="9:15" x14ac:dyDescent="0.2">
      <c r="I252" s="1750"/>
      <c r="J252" s="1750"/>
      <c r="N252" s="1976"/>
      <c r="O252" s="1750"/>
    </row>
    <row r="253" spans="9:15" x14ac:dyDescent="0.2">
      <c r="I253" s="1750"/>
      <c r="J253" s="1750"/>
      <c r="N253" s="1976"/>
      <c r="O253" s="1750"/>
    </row>
    <row r="254" spans="9:15" x14ac:dyDescent="0.2">
      <c r="I254" s="1750"/>
      <c r="J254" s="1750"/>
      <c r="N254" s="1976"/>
      <c r="O254" s="1750"/>
    </row>
    <row r="255" spans="9:15" x14ac:dyDescent="0.2">
      <c r="I255" s="1750"/>
      <c r="J255" s="1750"/>
      <c r="N255" s="1976"/>
      <c r="O255" s="1750"/>
    </row>
    <row r="256" spans="9:15" x14ac:dyDescent="0.2">
      <c r="I256" s="1750"/>
      <c r="J256" s="1750"/>
      <c r="N256" s="1976"/>
      <c r="O256" s="1750"/>
    </row>
    <row r="257" spans="9:15" x14ac:dyDescent="0.2">
      <c r="I257" s="1750"/>
      <c r="J257" s="1750"/>
      <c r="N257" s="1976"/>
      <c r="O257" s="1750"/>
    </row>
    <row r="258" spans="9:15" x14ac:dyDescent="0.2">
      <c r="I258" s="1750"/>
      <c r="J258" s="1750"/>
      <c r="N258" s="1976"/>
      <c r="O258" s="1750"/>
    </row>
    <row r="259" spans="9:15" x14ac:dyDescent="0.2">
      <c r="I259" s="1750"/>
      <c r="J259" s="1750"/>
      <c r="N259" s="1976"/>
      <c r="O259" s="1750"/>
    </row>
    <row r="260" spans="9:15" x14ac:dyDescent="0.2">
      <c r="I260" s="1750"/>
      <c r="J260" s="1750"/>
      <c r="N260" s="1976"/>
      <c r="O260" s="1750"/>
    </row>
    <row r="261" spans="9:15" x14ac:dyDescent="0.2">
      <c r="I261" s="1750"/>
      <c r="J261" s="1750"/>
      <c r="N261" s="1976"/>
      <c r="O261" s="1750"/>
    </row>
    <row r="262" spans="9:15" x14ac:dyDescent="0.2">
      <c r="I262" s="1750"/>
      <c r="J262" s="1750"/>
      <c r="N262" s="1976"/>
      <c r="O262" s="1750"/>
    </row>
    <row r="263" spans="9:15" x14ac:dyDescent="0.2">
      <c r="I263" s="1750"/>
      <c r="J263" s="1750"/>
      <c r="N263" s="1976"/>
      <c r="O263" s="1750"/>
    </row>
    <row r="264" spans="9:15" x14ac:dyDescent="0.2">
      <c r="I264" s="1750"/>
      <c r="J264" s="1750"/>
      <c r="N264" s="1976"/>
      <c r="O264" s="1750"/>
    </row>
    <row r="265" spans="9:15" x14ac:dyDescent="0.2">
      <c r="I265" s="1750"/>
      <c r="J265" s="1750"/>
      <c r="N265" s="1976"/>
      <c r="O265" s="1750"/>
    </row>
    <row r="266" spans="9:15" x14ac:dyDescent="0.2">
      <c r="I266" s="1750"/>
      <c r="J266" s="1750"/>
      <c r="N266" s="1976"/>
      <c r="O266" s="1750"/>
    </row>
    <row r="267" spans="9:15" x14ac:dyDescent="0.2">
      <c r="I267" s="1750"/>
      <c r="J267" s="1750"/>
      <c r="N267" s="1976"/>
      <c r="O267" s="1750"/>
    </row>
    <row r="268" spans="9:15" x14ac:dyDescent="0.2">
      <c r="I268" s="1750"/>
      <c r="J268" s="1750"/>
      <c r="N268" s="1976"/>
      <c r="O268" s="1750"/>
    </row>
    <row r="269" spans="9:15" x14ac:dyDescent="0.2">
      <c r="I269" s="1750"/>
      <c r="J269" s="1750"/>
      <c r="N269" s="1976"/>
      <c r="O269" s="1750"/>
    </row>
    <row r="270" spans="9:15" x14ac:dyDescent="0.2">
      <c r="I270" s="1750"/>
      <c r="J270" s="1750"/>
      <c r="N270" s="1976"/>
      <c r="O270" s="1750"/>
    </row>
    <row r="271" spans="9:15" x14ac:dyDescent="0.2">
      <c r="I271" s="1750"/>
      <c r="J271" s="1750"/>
      <c r="N271" s="1976"/>
      <c r="O271" s="1750"/>
    </row>
    <row r="272" spans="9:15" x14ac:dyDescent="0.2">
      <c r="I272" s="1750"/>
      <c r="J272" s="1750"/>
      <c r="N272" s="1976"/>
      <c r="O272" s="1750"/>
    </row>
    <row r="273" spans="9:15" x14ac:dyDescent="0.2">
      <c r="I273" s="1750"/>
      <c r="J273" s="1750"/>
      <c r="N273" s="1976"/>
      <c r="O273" s="1750"/>
    </row>
    <row r="274" spans="9:15" x14ac:dyDescent="0.2">
      <c r="I274" s="1750"/>
      <c r="J274" s="1750"/>
      <c r="N274" s="1976"/>
      <c r="O274" s="1750"/>
    </row>
    <row r="275" spans="9:15" x14ac:dyDescent="0.2">
      <c r="I275" s="1750"/>
      <c r="J275" s="1750"/>
      <c r="N275" s="1976"/>
      <c r="O275" s="1750"/>
    </row>
    <row r="276" spans="9:15" x14ac:dyDescent="0.2">
      <c r="I276" s="1750"/>
      <c r="J276" s="1750"/>
      <c r="N276" s="1976"/>
      <c r="O276" s="1750"/>
    </row>
    <row r="277" spans="9:15" x14ac:dyDescent="0.2">
      <c r="I277" s="1750"/>
      <c r="J277" s="1750"/>
      <c r="N277" s="1976"/>
      <c r="O277" s="1750"/>
    </row>
    <row r="278" spans="9:15" x14ac:dyDescent="0.2">
      <c r="I278" s="1750"/>
      <c r="J278" s="1750"/>
      <c r="N278" s="1976"/>
      <c r="O278" s="1750"/>
    </row>
    <row r="279" spans="9:15" x14ac:dyDescent="0.2">
      <c r="I279" s="1750"/>
      <c r="J279" s="1750"/>
      <c r="N279" s="1976"/>
      <c r="O279" s="1750"/>
    </row>
    <row r="280" spans="9:15" x14ac:dyDescent="0.2">
      <c r="I280" s="1750"/>
      <c r="J280" s="1750"/>
      <c r="N280" s="1976"/>
      <c r="O280" s="1750"/>
    </row>
    <row r="281" spans="9:15" x14ac:dyDescent="0.2">
      <c r="I281" s="1750"/>
      <c r="J281" s="1750"/>
      <c r="N281" s="1976"/>
      <c r="O281" s="1750"/>
    </row>
    <row r="282" spans="9:15" x14ac:dyDescent="0.2">
      <c r="I282" s="1750"/>
      <c r="J282" s="1750"/>
      <c r="N282" s="1976"/>
      <c r="O282" s="1750"/>
    </row>
    <row r="283" spans="9:15" x14ac:dyDescent="0.2">
      <c r="I283" s="1750"/>
      <c r="J283" s="1750"/>
      <c r="N283" s="1976"/>
      <c r="O283" s="1750"/>
    </row>
    <row r="284" spans="9:15" x14ac:dyDescent="0.2">
      <c r="I284" s="1750"/>
      <c r="J284" s="1750"/>
      <c r="N284" s="1976"/>
      <c r="O284" s="1750"/>
    </row>
    <row r="285" spans="9:15" x14ac:dyDescent="0.2">
      <c r="I285" s="1750"/>
      <c r="J285" s="1750"/>
      <c r="N285" s="1976"/>
      <c r="O285" s="1750"/>
    </row>
    <row r="286" spans="9:15" x14ac:dyDescent="0.2">
      <c r="I286" s="1750"/>
      <c r="J286" s="1750"/>
      <c r="N286" s="1976"/>
      <c r="O286" s="1750"/>
    </row>
    <row r="287" spans="9:15" x14ac:dyDescent="0.2">
      <c r="I287" s="1750"/>
      <c r="J287" s="1750"/>
      <c r="N287" s="1976"/>
      <c r="O287" s="1750"/>
    </row>
    <row r="288" spans="9:15" x14ac:dyDescent="0.2">
      <c r="I288" s="1750"/>
      <c r="J288" s="1750"/>
      <c r="N288" s="1976"/>
      <c r="O288" s="1750"/>
    </row>
    <row r="289" spans="9:15" x14ac:dyDescent="0.2">
      <c r="I289" s="1750"/>
      <c r="J289" s="1750"/>
      <c r="N289" s="1976"/>
      <c r="O289" s="1750"/>
    </row>
    <row r="290" spans="9:15" x14ac:dyDescent="0.2">
      <c r="I290" s="1750"/>
      <c r="J290" s="1750"/>
      <c r="N290" s="1976"/>
      <c r="O290" s="1750"/>
    </row>
    <row r="291" spans="9:15" x14ac:dyDescent="0.2">
      <c r="I291" s="1750"/>
      <c r="J291" s="1750"/>
      <c r="N291" s="1976"/>
      <c r="O291" s="1750"/>
    </row>
    <row r="292" spans="9:15" x14ac:dyDescent="0.2">
      <c r="I292" s="1750"/>
      <c r="J292" s="1750"/>
      <c r="N292" s="1976"/>
      <c r="O292" s="1750"/>
    </row>
    <row r="293" spans="9:15" x14ac:dyDescent="0.2">
      <c r="I293" s="1750"/>
      <c r="J293" s="1750"/>
      <c r="N293" s="1976"/>
      <c r="O293" s="1750"/>
    </row>
    <row r="294" spans="9:15" x14ac:dyDescent="0.2">
      <c r="I294" s="1750"/>
      <c r="J294" s="1750"/>
      <c r="N294" s="1976"/>
      <c r="O294" s="1750"/>
    </row>
    <row r="295" spans="9:15" x14ac:dyDescent="0.2">
      <c r="I295" s="1750"/>
      <c r="J295" s="1750"/>
      <c r="N295" s="1976"/>
      <c r="O295" s="1750"/>
    </row>
    <row r="296" spans="9:15" x14ac:dyDescent="0.2">
      <c r="I296" s="1750"/>
      <c r="J296" s="1750"/>
      <c r="N296" s="1976"/>
      <c r="O296" s="1750"/>
    </row>
    <row r="297" spans="9:15" x14ac:dyDescent="0.2">
      <c r="I297" s="1750"/>
      <c r="J297" s="1750"/>
      <c r="N297" s="1976"/>
      <c r="O297" s="1750"/>
    </row>
    <row r="298" spans="9:15" x14ac:dyDescent="0.2">
      <c r="I298" s="1750"/>
      <c r="J298" s="1750"/>
      <c r="N298" s="1976"/>
      <c r="O298" s="1750"/>
    </row>
    <row r="299" spans="9:15" x14ac:dyDescent="0.2">
      <c r="I299" s="1750"/>
      <c r="J299" s="1750"/>
      <c r="N299" s="1976"/>
      <c r="O299" s="1750"/>
    </row>
    <row r="300" spans="9:15" x14ac:dyDescent="0.2">
      <c r="I300" s="1750"/>
      <c r="J300" s="1750"/>
      <c r="N300" s="1976"/>
      <c r="O300" s="1750"/>
    </row>
    <row r="301" spans="9:15" x14ac:dyDescent="0.2">
      <c r="I301" s="1750"/>
      <c r="J301" s="1750"/>
      <c r="N301" s="1976"/>
      <c r="O301" s="1750"/>
    </row>
    <row r="302" spans="9:15" x14ac:dyDescent="0.2">
      <c r="I302" s="1750"/>
      <c r="J302" s="1750"/>
      <c r="N302" s="1976"/>
      <c r="O302" s="1750"/>
    </row>
    <row r="303" spans="9:15" x14ac:dyDescent="0.2">
      <c r="I303" s="1750"/>
      <c r="J303" s="1750"/>
      <c r="N303" s="1976"/>
      <c r="O303" s="1750"/>
    </row>
    <row r="304" spans="9:15" x14ac:dyDescent="0.2">
      <c r="I304" s="1750"/>
      <c r="J304" s="1750"/>
      <c r="N304" s="1976"/>
      <c r="O304" s="1750"/>
    </row>
    <row r="305" spans="9:15" x14ac:dyDescent="0.2">
      <c r="I305" s="1750"/>
      <c r="J305" s="1750"/>
      <c r="N305" s="1976"/>
      <c r="O305" s="1750"/>
    </row>
    <row r="306" spans="9:15" x14ac:dyDescent="0.2">
      <c r="I306" s="1750"/>
      <c r="J306" s="1750"/>
      <c r="N306" s="1976"/>
      <c r="O306" s="1750"/>
    </row>
    <row r="307" spans="9:15" x14ac:dyDescent="0.2">
      <c r="I307" s="1750"/>
      <c r="J307" s="1750"/>
      <c r="N307" s="1976"/>
      <c r="O307" s="1750"/>
    </row>
    <row r="308" spans="9:15" x14ac:dyDescent="0.2">
      <c r="I308" s="1750"/>
      <c r="J308" s="1750"/>
      <c r="N308" s="1976"/>
      <c r="O308" s="1750"/>
    </row>
    <row r="309" spans="9:15" x14ac:dyDescent="0.2">
      <c r="I309" s="1750"/>
      <c r="J309" s="1750"/>
      <c r="N309" s="1976"/>
      <c r="O309" s="1750"/>
    </row>
    <row r="310" spans="9:15" x14ac:dyDescent="0.2">
      <c r="I310" s="1750"/>
      <c r="J310" s="1750"/>
      <c r="N310" s="1976"/>
      <c r="O310" s="1750"/>
    </row>
    <row r="311" spans="9:15" x14ac:dyDescent="0.2">
      <c r="I311" s="1750"/>
      <c r="J311" s="1750"/>
      <c r="N311" s="1976"/>
      <c r="O311" s="1750"/>
    </row>
    <row r="312" spans="9:15" x14ac:dyDescent="0.2">
      <c r="I312" s="1750"/>
      <c r="J312" s="1750"/>
      <c r="N312" s="1976"/>
      <c r="O312" s="1750"/>
    </row>
    <row r="313" spans="9:15" x14ac:dyDescent="0.2">
      <c r="I313" s="1750"/>
      <c r="J313" s="1750"/>
      <c r="N313" s="1976"/>
      <c r="O313" s="1750"/>
    </row>
    <row r="314" spans="9:15" x14ac:dyDescent="0.2">
      <c r="I314" s="1750"/>
      <c r="J314" s="1750"/>
      <c r="N314" s="1976"/>
      <c r="O314" s="1750"/>
    </row>
    <row r="315" spans="9:15" x14ac:dyDescent="0.2">
      <c r="I315" s="1750"/>
      <c r="J315" s="1750"/>
      <c r="N315" s="1976"/>
      <c r="O315" s="1750"/>
    </row>
    <row r="316" spans="9:15" x14ac:dyDescent="0.2">
      <c r="I316" s="1750"/>
      <c r="J316" s="1750"/>
      <c r="N316" s="1976"/>
      <c r="O316" s="1750"/>
    </row>
    <row r="317" spans="9:15" x14ac:dyDescent="0.2">
      <c r="I317" s="1750"/>
      <c r="J317" s="1750"/>
      <c r="N317" s="1976"/>
      <c r="O317" s="1750"/>
    </row>
    <row r="318" spans="9:15" x14ac:dyDescent="0.2">
      <c r="I318" s="1750"/>
      <c r="J318" s="1750"/>
      <c r="N318" s="1976"/>
      <c r="O318" s="1750"/>
    </row>
    <row r="319" spans="9:15" x14ac:dyDescent="0.2">
      <c r="I319" s="1750"/>
      <c r="J319" s="1750"/>
      <c r="N319" s="1976"/>
      <c r="O319" s="1750"/>
    </row>
    <row r="320" spans="9:15" x14ac:dyDescent="0.2">
      <c r="I320" s="1750"/>
      <c r="J320" s="1750"/>
      <c r="N320" s="1976"/>
      <c r="O320" s="1750"/>
    </row>
    <row r="321" spans="9:15" x14ac:dyDescent="0.2">
      <c r="I321" s="1750"/>
      <c r="J321" s="1750"/>
      <c r="N321" s="1976"/>
      <c r="O321" s="1750"/>
    </row>
    <row r="322" spans="9:15" x14ac:dyDescent="0.2">
      <c r="I322" s="1750"/>
      <c r="J322" s="1750"/>
      <c r="N322" s="1976"/>
      <c r="O322" s="1750"/>
    </row>
    <row r="323" spans="9:15" x14ac:dyDescent="0.2">
      <c r="I323" s="1750"/>
      <c r="J323" s="1750"/>
      <c r="N323" s="1976"/>
      <c r="O323" s="1750"/>
    </row>
    <row r="324" spans="9:15" x14ac:dyDescent="0.2">
      <c r="I324" s="1750"/>
      <c r="J324" s="1750"/>
      <c r="N324" s="1976"/>
      <c r="O324" s="1750"/>
    </row>
    <row r="325" spans="9:15" x14ac:dyDescent="0.2">
      <c r="I325" s="1750"/>
      <c r="J325" s="1750"/>
      <c r="N325" s="1976"/>
      <c r="O325" s="1750"/>
    </row>
    <row r="326" spans="9:15" x14ac:dyDescent="0.2">
      <c r="I326" s="1750"/>
      <c r="J326" s="1750"/>
      <c r="N326" s="1976"/>
      <c r="O326" s="1750"/>
    </row>
    <row r="327" spans="9:15" x14ac:dyDescent="0.2">
      <c r="I327" s="1750"/>
      <c r="J327" s="1750"/>
      <c r="N327" s="1976"/>
      <c r="O327" s="1750"/>
    </row>
    <row r="328" spans="9:15" x14ac:dyDescent="0.2">
      <c r="I328" s="1750"/>
      <c r="J328" s="1750"/>
      <c r="N328" s="1976"/>
      <c r="O328" s="1750"/>
    </row>
    <row r="329" spans="9:15" x14ac:dyDescent="0.2">
      <c r="I329" s="1750"/>
      <c r="J329" s="1750"/>
      <c r="N329" s="1976"/>
      <c r="O329" s="1750"/>
    </row>
    <row r="330" spans="9:15" x14ac:dyDescent="0.2">
      <c r="I330" s="1750"/>
      <c r="J330" s="1750"/>
      <c r="N330" s="1976"/>
      <c r="O330" s="1750"/>
    </row>
    <row r="331" spans="9:15" x14ac:dyDescent="0.2">
      <c r="I331" s="1750"/>
      <c r="J331" s="1750"/>
      <c r="N331" s="1976"/>
      <c r="O331" s="1750"/>
    </row>
    <row r="332" spans="9:15" x14ac:dyDescent="0.2">
      <c r="I332" s="1750"/>
      <c r="J332" s="1750"/>
      <c r="N332" s="1976"/>
      <c r="O332" s="1750"/>
    </row>
    <row r="333" spans="9:15" x14ac:dyDescent="0.2">
      <c r="I333" s="1750"/>
      <c r="J333" s="1750"/>
      <c r="N333" s="1976"/>
      <c r="O333" s="1750"/>
    </row>
    <row r="334" spans="9:15" x14ac:dyDescent="0.2">
      <c r="I334" s="1750"/>
      <c r="J334" s="1750"/>
      <c r="N334" s="1976"/>
      <c r="O334" s="1750"/>
    </row>
    <row r="335" spans="9:15" x14ac:dyDescent="0.2">
      <c r="I335" s="1750"/>
      <c r="J335" s="1750"/>
      <c r="N335" s="1976"/>
      <c r="O335" s="1750"/>
    </row>
    <row r="336" spans="9:15" x14ac:dyDescent="0.2">
      <c r="I336" s="1750"/>
      <c r="J336" s="1750"/>
      <c r="N336" s="1976"/>
      <c r="O336" s="1750"/>
    </row>
    <row r="337" spans="9:15" x14ac:dyDescent="0.2">
      <c r="I337" s="1750"/>
      <c r="J337" s="1750"/>
      <c r="N337" s="1976"/>
      <c r="O337" s="1750"/>
    </row>
    <row r="338" spans="9:15" x14ac:dyDescent="0.2">
      <c r="I338" s="1750"/>
      <c r="J338" s="1750"/>
      <c r="N338" s="1976"/>
      <c r="O338" s="1750"/>
    </row>
    <row r="339" spans="9:15" x14ac:dyDescent="0.2">
      <c r="I339" s="1750"/>
      <c r="J339" s="1750"/>
      <c r="N339" s="1976"/>
      <c r="O339" s="1750"/>
    </row>
    <row r="340" spans="9:15" x14ac:dyDescent="0.2">
      <c r="I340" s="1750"/>
      <c r="J340" s="1750"/>
      <c r="N340" s="1976"/>
      <c r="O340" s="1750"/>
    </row>
    <row r="341" spans="9:15" x14ac:dyDescent="0.2">
      <c r="I341" s="1750"/>
      <c r="J341" s="1750"/>
      <c r="N341" s="1976"/>
      <c r="O341" s="1750"/>
    </row>
    <row r="342" spans="9:15" x14ac:dyDescent="0.2">
      <c r="I342" s="1750"/>
      <c r="J342" s="1750"/>
      <c r="N342" s="1976"/>
      <c r="O342" s="1750"/>
    </row>
    <row r="343" spans="9:15" x14ac:dyDescent="0.2">
      <c r="I343" s="1750"/>
      <c r="J343" s="1750"/>
      <c r="N343" s="1976"/>
      <c r="O343" s="1750"/>
    </row>
    <row r="344" spans="9:15" x14ac:dyDescent="0.2">
      <c r="I344" s="1750"/>
      <c r="J344" s="1750"/>
      <c r="N344" s="1976"/>
      <c r="O344" s="1750"/>
    </row>
    <row r="345" spans="9:15" x14ac:dyDescent="0.2">
      <c r="I345" s="1750"/>
      <c r="J345" s="1750"/>
      <c r="N345" s="1976"/>
      <c r="O345" s="1750"/>
    </row>
    <row r="346" spans="9:15" x14ac:dyDescent="0.2">
      <c r="I346" s="1750"/>
      <c r="J346" s="1750"/>
      <c r="N346" s="1976"/>
      <c r="O346" s="1750"/>
    </row>
    <row r="347" spans="9:15" x14ac:dyDescent="0.2">
      <c r="I347" s="1750"/>
      <c r="J347" s="1750"/>
      <c r="N347" s="1976"/>
      <c r="O347" s="1750"/>
    </row>
    <row r="348" spans="9:15" x14ac:dyDescent="0.2">
      <c r="I348" s="1750"/>
      <c r="J348" s="1750"/>
      <c r="N348" s="1976"/>
      <c r="O348" s="1750"/>
    </row>
    <row r="349" spans="9:15" x14ac:dyDescent="0.2">
      <c r="I349" s="1750"/>
      <c r="J349" s="1750"/>
      <c r="N349" s="1976"/>
      <c r="O349" s="1750"/>
    </row>
    <row r="350" spans="9:15" x14ac:dyDescent="0.2">
      <c r="I350" s="1750"/>
      <c r="J350" s="1750"/>
      <c r="N350" s="1976"/>
      <c r="O350" s="1750"/>
    </row>
    <row r="351" spans="9:15" x14ac:dyDescent="0.2">
      <c r="I351" s="1750"/>
      <c r="J351" s="1750"/>
      <c r="N351" s="1976"/>
      <c r="O351" s="1750"/>
    </row>
    <row r="352" spans="9:15" x14ac:dyDescent="0.2">
      <c r="I352" s="1750"/>
      <c r="J352" s="1750"/>
      <c r="N352" s="1976"/>
      <c r="O352" s="1750"/>
    </row>
    <row r="353" spans="9:15" x14ac:dyDescent="0.2">
      <c r="I353" s="1750"/>
      <c r="J353" s="1750"/>
      <c r="N353" s="1976"/>
      <c r="O353" s="1750"/>
    </row>
    <row r="354" spans="9:15" x14ac:dyDescent="0.2">
      <c r="I354" s="1750"/>
      <c r="J354" s="1750"/>
      <c r="N354" s="1976"/>
      <c r="O354" s="1750"/>
    </row>
    <row r="355" spans="9:15" x14ac:dyDescent="0.2">
      <c r="I355" s="1750"/>
      <c r="J355" s="1750"/>
      <c r="N355" s="1976"/>
      <c r="O355" s="1750"/>
    </row>
    <row r="356" spans="9:15" x14ac:dyDescent="0.2">
      <c r="I356" s="1750"/>
      <c r="J356" s="1750"/>
      <c r="N356" s="1976"/>
      <c r="O356" s="1750"/>
    </row>
    <row r="357" spans="9:15" x14ac:dyDescent="0.2">
      <c r="I357" s="1750"/>
      <c r="J357" s="1750"/>
      <c r="N357" s="1976"/>
      <c r="O357" s="1750"/>
    </row>
    <row r="358" spans="9:15" x14ac:dyDescent="0.2">
      <c r="I358" s="1750"/>
      <c r="J358" s="1750"/>
      <c r="N358" s="1976"/>
      <c r="O358" s="1750"/>
    </row>
    <row r="359" spans="9:15" x14ac:dyDescent="0.2">
      <c r="I359" s="1750"/>
      <c r="J359" s="1750"/>
      <c r="N359" s="1976"/>
      <c r="O359" s="1750"/>
    </row>
    <row r="360" spans="9:15" x14ac:dyDescent="0.2">
      <c r="I360" s="1750"/>
      <c r="J360" s="1750"/>
      <c r="N360" s="1976"/>
      <c r="O360" s="1750"/>
    </row>
    <row r="361" spans="9:15" x14ac:dyDescent="0.2">
      <c r="I361" s="1750"/>
      <c r="J361" s="1750"/>
      <c r="N361" s="1976"/>
      <c r="O361" s="1750"/>
    </row>
    <row r="362" spans="9:15" x14ac:dyDescent="0.2">
      <c r="I362" s="1750"/>
      <c r="J362" s="1750"/>
      <c r="N362" s="1976"/>
      <c r="O362" s="1750"/>
    </row>
    <row r="363" spans="9:15" x14ac:dyDescent="0.2">
      <c r="I363" s="1750"/>
      <c r="J363" s="1750"/>
      <c r="N363" s="1976"/>
      <c r="O363" s="1750"/>
    </row>
    <row r="364" spans="9:15" x14ac:dyDescent="0.2">
      <c r="I364" s="1750"/>
      <c r="J364" s="1750"/>
      <c r="N364" s="1976"/>
      <c r="O364" s="1750"/>
    </row>
    <row r="365" spans="9:15" x14ac:dyDescent="0.2">
      <c r="I365" s="1750"/>
      <c r="J365" s="1750"/>
      <c r="N365" s="1976"/>
      <c r="O365" s="1750"/>
    </row>
    <row r="366" spans="9:15" x14ac:dyDescent="0.2">
      <c r="I366" s="1750"/>
      <c r="J366" s="1750"/>
      <c r="N366" s="1976"/>
      <c r="O366" s="1750"/>
    </row>
    <row r="367" spans="9:15" x14ac:dyDescent="0.2">
      <c r="I367" s="1750"/>
      <c r="J367" s="1750"/>
      <c r="N367" s="1976"/>
      <c r="O367" s="1750"/>
    </row>
    <row r="368" spans="9:15" x14ac:dyDescent="0.2">
      <c r="I368" s="1750"/>
      <c r="J368" s="1750"/>
      <c r="N368" s="1976"/>
      <c r="O368" s="1750"/>
    </row>
    <row r="369" spans="9:15" x14ac:dyDescent="0.2">
      <c r="I369" s="1750"/>
      <c r="J369" s="1750"/>
      <c r="N369" s="1976"/>
      <c r="O369" s="1750"/>
    </row>
    <row r="370" spans="9:15" x14ac:dyDescent="0.2">
      <c r="I370" s="1750"/>
      <c r="J370" s="1750"/>
      <c r="N370" s="1976"/>
      <c r="O370" s="1750"/>
    </row>
    <row r="371" spans="9:15" x14ac:dyDescent="0.2">
      <c r="I371" s="1750"/>
      <c r="J371" s="1750"/>
      <c r="N371" s="1976"/>
      <c r="O371" s="1750"/>
    </row>
    <row r="372" spans="9:15" x14ac:dyDescent="0.2">
      <c r="I372" s="1750"/>
      <c r="J372" s="1750"/>
      <c r="N372" s="1976"/>
      <c r="O372" s="1750"/>
    </row>
    <row r="373" spans="9:15" x14ac:dyDescent="0.2">
      <c r="I373" s="1750"/>
      <c r="J373" s="1750"/>
      <c r="N373" s="1976"/>
      <c r="O373" s="1750"/>
    </row>
    <row r="374" spans="9:15" x14ac:dyDescent="0.2">
      <c r="I374" s="1750"/>
      <c r="J374" s="1750"/>
      <c r="N374" s="1976"/>
      <c r="O374" s="1750"/>
    </row>
    <row r="375" spans="9:15" x14ac:dyDescent="0.2">
      <c r="I375" s="1750"/>
      <c r="J375" s="1750"/>
      <c r="N375" s="1976"/>
      <c r="O375" s="1750"/>
    </row>
    <row r="376" spans="9:15" x14ac:dyDescent="0.2">
      <c r="I376" s="1750"/>
      <c r="J376" s="1750"/>
      <c r="N376" s="1976"/>
      <c r="O376" s="1750"/>
    </row>
    <row r="377" spans="9:15" x14ac:dyDescent="0.2">
      <c r="I377" s="1750"/>
      <c r="J377" s="1750"/>
      <c r="N377" s="1976"/>
      <c r="O377" s="1750"/>
    </row>
    <row r="378" spans="9:15" x14ac:dyDescent="0.2">
      <c r="I378" s="1750"/>
      <c r="J378" s="1750"/>
      <c r="N378" s="1976"/>
      <c r="O378" s="1750"/>
    </row>
    <row r="379" spans="9:15" x14ac:dyDescent="0.2">
      <c r="I379" s="1750"/>
      <c r="J379" s="1750"/>
      <c r="N379" s="1976"/>
      <c r="O379" s="1750"/>
    </row>
    <row r="380" spans="9:15" x14ac:dyDescent="0.2">
      <c r="I380" s="1750"/>
      <c r="J380" s="1750"/>
      <c r="N380" s="1976"/>
      <c r="O380" s="1750"/>
    </row>
    <row r="381" spans="9:15" x14ac:dyDescent="0.2">
      <c r="I381" s="1750"/>
      <c r="J381" s="1750"/>
      <c r="N381" s="1976"/>
      <c r="O381" s="1750"/>
    </row>
    <row r="382" spans="9:15" x14ac:dyDescent="0.2">
      <c r="I382" s="1750"/>
      <c r="J382" s="1750"/>
      <c r="N382" s="1976"/>
      <c r="O382" s="1750"/>
    </row>
    <row r="383" spans="9:15" x14ac:dyDescent="0.2">
      <c r="I383" s="1750"/>
      <c r="J383" s="1750"/>
      <c r="N383" s="1976"/>
      <c r="O383" s="1750"/>
    </row>
    <row r="384" spans="9:15" x14ac:dyDescent="0.2">
      <c r="I384" s="1750"/>
      <c r="J384" s="1750"/>
      <c r="N384" s="1976"/>
      <c r="O384" s="1750"/>
    </row>
    <row r="385" spans="9:15" x14ac:dyDescent="0.2">
      <c r="I385" s="1750"/>
      <c r="J385" s="1750"/>
      <c r="N385" s="1976"/>
      <c r="O385" s="1750"/>
    </row>
    <row r="386" spans="9:15" x14ac:dyDescent="0.2">
      <c r="I386" s="1750"/>
      <c r="J386" s="1750"/>
      <c r="N386" s="1976"/>
      <c r="O386" s="1750"/>
    </row>
    <row r="387" spans="9:15" x14ac:dyDescent="0.2">
      <c r="I387" s="1750"/>
      <c r="J387" s="1750"/>
      <c r="N387" s="1976"/>
      <c r="O387" s="1750"/>
    </row>
    <row r="388" spans="9:15" x14ac:dyDescent="0.2">
      <c r="I388" s="1750"/>
      <c r="J388" s="1750"/>
      <c r="N388" s="1976"/>
      <c r="O388" s="1750"/>
    </row>
    <row r="389" spans="9:15" x14ac:dyDescent="0.2">
      <c r="I389" s="1750"/>
      <c r="J389" s="1750"/>
      <c r="N389" s="1976"/>
      <c r="O389" s="1750"/>
    </row>
    <row r="390" spans="9:15" x14ac:dyDescent="0.2">
      <c r="I390" s="1750"/>
      <c r="J390" s="1750"/>
      <c r="N390" s="1976"/>
      <c r="O390" s="1750"/>
    </row>
    <row r="391" spans="9:15" x14ac:dyDescent="0.2">
      <c r="I391" s="1750"/>
      <c r="J391" s="1750"/>
      <c r="N391" s="1976"/>
      <c r="O391" s="1750"/>
    </row>
    <row r="392" spans="9:15" x14ac:dyDescent="0.2">
      <c r="I392" s="1750"/>
      <c r="J392" s="1750"/>
      <c r="N392" s="1976"/>
      <c r="O392" s="1750"/>
    </row>
    <row r="393" spans="9:15" x14ac:dyDescent="0.2">
      <c r="I393" s="1750"/>
      <c r="J393" s="1750"/>
      <c r="N393" s="1976"/>
      <c r="O393" s="1750"/>
    </row>
    <row r="394" spans="9:15" x14ac:dyDescent="0.2">
      <c r="I394" s="1750"/>
      <c r="J394" s="1750"/>
      <c r="N394" s="1976"/>
      <c r="O394" s="1750"/>
    </row>
    <row r="395" spans="9:15" x14ac:dyDescent="0.2">
      <c r="I395" s="1750"/>
      <c r="J395" s="1750"/>
      <c r="N395" s="1976"/>
      <c r="O395" s="1750"/>
    </row>
    <row r="396" spans="9:15" x14ac:dyDescent="0.2">
      <c r="I396" s="1750"/>
      <c r="J396" s="1750"/>
      <c r="N396" s="1976"/>
      <c r="O396" s="1750"/>
    </row>
    <row r="397" spans="9:15" x14ac:dyDescent="0.2">
      <c r="I397" s="1750"/>
      <c r="J397" s="1750"/>
      <c r="N397" s="1976"/>
      <c r="O397" s="1750"/>
    </row>
    <row r="398" spans="9:15" x14ac:dyDescent="0.2">
      <c r="I398" s="1750"/>
      <c r="J398" s="1750"/>
      <c r="N398" s="1976"/>
      <c r="O398" s="1750"/>
    </row>
    <row r="399" spans="9:15" x14ac:dyDescent="0.2">
      <c r="I399" s="1750"/>
      <c r="J399" s="1750"/>
      <c r="N399" s="1976"/>
      <c r="O399" s="1750"/>
    </row>
    <row r="400" spans="9:15" x14ac:dyDescent="0.2">
      <c r="I400" s="1750"/>
      <c r="J400" s="1750"/>
      <c r="N400" s="1976"/>
      <c r="O400" s="1750"/>
    </row>
    <row r="401" spans="9:15" x14ac:dyDescent="0.2">
      <c r="I401" s="1750"/>
      <c r="J401" s="1750"/>
      <c r="N401" s="1976"/>
      <c r="O401" s="1750"/>
    </row>
    <row r="402" spans="9:15" x14ac:dyDescent="0.2">
      <c r="I402" s="1750"/>
      <c r="J402" s="1750"/>
      <c r="N402" s="1976"/>
      <c r="O402" s="1750"/>
    </row>
    <row r="403" spans="9:15" x14ac:dyDescent="0.2">
      <c r="I403" s="1750"/>
      <c r="J403" s="1750"/>
      <c r="N403" s="1976"/>
      <c r="O403" s="1750"/>
    </row>
    <row r="404" spans="9:15" x14ac:dyDescent="0.2">
      <c r="I404" s="1750"/>
      <c r="J404" s="1750"/>
      <c r="N404" s="1976"/>
      <c r="O404" s="1750"/>
    </row>
    <row r="405" spans="9:15" x14ac:dyDescent="0.2">
      <c r="I405" s="1750"/>
      <c r="J405" s="1750"/>
      <c r="N405" s="1976"/>
      <c r="O405" s="1750"/>
    </row>
    <row r="406" spans="9:15" x14ac:dyDescent="0.2">
      <c r="I406" s="1750"/>
      <c r="J406" s="1750"/>
      <c r="N406" s="1976"/>
      <c r="O406" s="1750"/>
    </row>
    <row r="407" spans="9:15" x14ac:dyDescent="0.2">
      <c r="I407" s="1750"/>
      <c r="J407" s="1750"/>
      <c r="N407" s="1976"/>
      <c r="O407" s="1750"/>
    </row>
    <row r="408" spans="9:15" x14ac:dyDescent="0.2">
      <c r="I408" s="1750"/>
      <c r="J408" s="1750"/>
      <c r="N408" s="1976"/>
      <c r="O408" s="1750"/>
    </row>
    <row r="409" spans="9:15" x14ac:dyDescent="0.2">
      <c r="I409" s="1750"/>
      <c r="J409" s="1750"/>
      <c r="N409" s="1976"/>
      <c r="O409" s="1750"/>
    </row>
    <row r="410" spans="9:15" x14ac:dyDescent="0.2">
      <c r="I410" s="1750"/>
      <c r="J410" s="1750"/>
      <c r="N410" s="1976"/>
      <c r="O410" s="1750"/>
    </row>
    <row r="411" spans="9:15" x14ac:dyDescent="0.2">
      <c r="I411" s="1750"/>
      <c r="J411" s="1750"/>
      <c r="N411" s="1976"/>
      <c r="O411" s="1750"/>
    </row>
    <row r="412" spans="9:15" x14ac:dyDescent="0.2">
      <c r="I412" s="1750"/>
      <c r="J412" s="1750"/>
      <c r="N412" s="1976"/>
      <c r="O412" s="1750"/>
    </row>
    <row r="413" spans="9:15" x14ac:dyDescent="0.2">
      <c r="I413" s="1750"/>
      <c r="J413" s="1750"/>
      <c r="N413" s="1976"/>
      <c r="O413" s="1750"/>
    </row>
    <row r="414" spans="9:15" x14ac:dyDescent="0.2">
      <c r="I414" s="1750"/>
      <c r="J414" s="1750"/>
      <c r="N414" s="1976"/>
      <c r="O414" s="1750"/>
    </row>
    <row r="415" spans="9:15" x14ac:dyDescent="0.2">
      <c r="I415" s="1750"/>
      <c r="J415" s="1750"/>
      <c r="N415" s="1976"/>
      <c r="O415" s="1750"/>
    </row>
    <row r="416" spans="9:15" x14ac:dyDescent="0.2">
      <c r="I416" s="1750"/>
      <c r="J416" s="1750"/>
      <c r="N416" s="1976"/>
      <c r="O416" s="1750"/>
    </row>
    <row r="417" spans="9:15" x14ac:dyDescent="0.2">
      <c r="I417" s="1750"/>
      <c r="J417" s="1750"/>
      <c r="N417" s="1976"/>
      <c r="O417" s="1750"/>
    </row>
    <row r="418" spans="9:15" x14ac:dyDescent="0.2">
      <c r="I418" s="1750"/>
      <c r="J418" s="1750"/>
      <c r="N418" s="1976"/>
      <c r="O418" s="1750"/>
    </row>
    <row r="419" spans="9:15" x14ac:dyDescent="0.2">
      <c r="I419" s="1750"/>
      <c r="J419" s="1750"/>
      <c r="N419" s="1976"/>
      <c r="O419" s="1750"/>
    </row>
    <row r="420" spans="9:15" x14ac:dyDescent="0.2">
      <c r="I420" s="1750"/>
      <c r="J420" s="1750"/>
      <c r="N420" s="1976"/>
      <c r="O420" s="1750"/>
    </row>
    <row r="421" spans="9:15" x14ac:dyDescent="0.2">
      <c r="I421" s="1750"/>
      <c r="J421" s="1750"/>
      <c r="N421" s="1976"/>
      <c r="O421" s="1750"/>
    </row>
    <row r="422" spans="9:15" x14ac:dyDescent="0.2">
      <c r="I422" s="1750"/>
      <c r="J422" s="1750"/>
      <c r="N422" s="1976"/>
      <c r="O422" s="1750"/>
    </row>
    <row r="423" spans="9:15" x14ac:dyDescent="0.2">
      <c r="I423" s="1750"/>
      <c r="J423" s="1750"/>
      <c r="N423" s="1976"/>
      <c r="O423" s="1750"/>
    </row>
    <row r="424" spans="9:15" x14ac:dyDescent="0.2">
      <c r="I424" s="1750"/>
      <c r="J424" s="1750"/>
      <c r="N424" s="1976"/>
      <c r="O424" s="1750"/>
    </row>
    <row r="425" spans="9:15" x14ac:dyDescent="0.2">
      <c r="I425" s="1750"/>
      <c r="J425" s="1750"/>
      <c r="N425" s="1976"/>
      <c r="O425" s="1750"/>
    </row>
    <row r="426" spans="9:15" x14ac:dyDescent="0.2">
      <c r="I426" s="1750"/>
      <c r="J426" s="1750"/>
      <c r="N426" s="1976"/>
      <c r="O426" s="1750"/>
    </row>
    <row r="427" spans="9:15" x14ac:dyDescent="0.2">
      <c r="I427" s="1750"/>
      <c r="J427" s="1750"/>
      <c r="N427" s="1976"/>
      <c r="O427" s="1750"/>
    </row>
    <row r="428" spans="9:15" x14ac:dyDescent="0.2">
      <c r="I428" s="1750"/>
      <c r="J428" s="1750"/>
      <c r="N428" s="1976"/>
      <c r="O428" s="1750"/>
    </row>
    <row r="429" spans="9:15" x14ac:dyDescent="0.2">
      <c r="I429" s="1750"/>
      <c r="J429" s="1750"/>
      <c r="N429" s="1976"/>
      <c r="O429" s="1750"/>
    </row>
    <row r="430" spans="9:15" x14ac:dyDescent="0.2">
      <c r="I430" s="1750"/>
      <c r="J430" s="1750"/>
      <c r="N430" s="1976"/>
      <c r="O430" s="1750"/>
    </row>
    <row r="431" spans="9:15" x14ac:dyDescent="0.2">
      <c r="I431" s="1750"/>
      <c r="J431" s="1750"/>
      <c r="N431" s="1976"/>
      <c r="O431" s="1750"/>
    </row>
    <row r="432" spans="9:15" x14ac:dyDescent="0.2">
      <c r="I432" s="1750"/>
      <c r="J432" s="1750"/>
      <c r="N432" s="1976"/>
      <c r="O432" s="1750"/>
    </row>
    <row r="433" spans="9:15" x14ac:dyDescent="0.2">
      <c r="I433" s="1750"/>
      <c r="J433" s="1750"/>
      <c r="N433" s="1976"/>
      <c r="O433" s="1750"/>
    </row>
    <row r="434" spans="9:15" x14ac:dyDescent="0.2">
      <c r="I434" s="1750"/>
      <c r="J434" s="1750"/>
      <c r="N434" s="1976"/>
      <c r="O434" s="1750"/>
    </row>
    <row r="435" spans="9:15" x14ac:dyDescent="0.2">
      <c r="I435" s="1750"/>
      <c r="J435" s="1750"/>
      <c r="N435" s="1976"/>
      <c r="O435" s="1750"/>
    </row>
    <row r="436" spans="9:15" x14ac:dyDescent="0.2">
      <c r="I436" s="1750"/>
      <c r="J436" s="1750"/>
      <c r="N436" s="1976"/>
      <c r="O436" s="1750"/>
    </row>
    <row r="437" spans="9:15" x14ac:dyDescent="0.2">
      <c r="I437" s="1750"/>
      <c r="J437" s="1750"/>
      <c r="N437" s="1976"/>
      <c r="O437" s="1750"/>
    </row>
    <row r="438" spans="9:15" x14ac:dyDescent="0.2">
      <c r="I438" s="1750"/>
      <c r="J438" s="1750"/>
      <c r="N438" s="1976"/>
      <c r="O438" s="1750"/>
    </row>
    <row r="439" spans="9:15" x14ac:dyDescent="0.2">
      <c r="I439" s="1750"/>
      <c r="J439" s="1750"/>
      <c r="N439" s="1976"/>
      <c r="O439" s="1750"/>
    </row>
    <row r="440" spans="9:15" x14ac:dyDescent="0.2">
      <c r="I440" s="1750"/>
      <c r="J440" s="1750"/>
      <c r="N440" s="1976"/>
      <c r="O440" s="1750"/>
    </row>
    <row r="441" spans="9:15" x14ac:dyDescent="0.2">
      <c r="I441" s="1750"/>
      <c r="J441" s="1750"/>
      <c r="N441" s="1976"/>
      <c r="O441" s="1750"/>
    </row>
    <row r="442" spans="9:15" x14ac:dyDescent="0.2">
      <c r="I442" s="1750"/>
      <c r="J442" s="1750"/>
      <c r="N442" s="1976"/>
      <c r="O442" s="1750"/>
    </row>
    <row r="443" spans="9:15" x14ac:dyDescent="0.2">
      <c r="I443" s="1750"/>
      <c r="J443" s="1750"/>
      <c r="N443" s="1976"/>
      <c r="O443" s="1750"/>
    </row>
    <row r="444" spans="9:15" x14ac:dyDescent="0.2">
      <c r="I444" s="1750"/>
      <c r="J444" s="1750"/>
      <c r="N444" s="1976"/>
      <c r="O444" s="1750"/>
    </row>
    <row r="445" spans="9:15" x14ac:dyDescent="0.2">
      <c r="I445" s="1750"/>
      <c r="J445" s="1750"/>
      <c r="N445" s="1976"/>
      <c r="O445" s="1750"/>
    </row>
    <row r="446" spans="9:15" x14ac:dyDescent="0.2">
      <c r="I446" s="1750"/>
      <c r="J446" s="1750"/>
      <c r="N446" s="1976"/>
      <c r="O446" s="1750"/>
    </row>
    <row r="447" spans="9:15" x14ac:dyDescent="0.2">
      <c r="I447" s="1750"/>
      <c r="J447" s="1750"/>
      <c r="N447" s="1976"/>
      <c r="O447" s="1750"/>
    </row>
    <row r="448" spans="9:15" x14ac:dyDescent="0.2">
      <c r="I448" s="1750"/>
      <c r="J448" s="1750"/>
      <c r="N448" s="1976"/>
      <c r="O448" s="1750"/>
    </row>
    <row r="449" spans="9:15" x14ac:dyDescent="0.2">
      <c r="I449" s="1750"/>
      <c r="J449" s="1750"/>
      <c r="N449" s="1976"/>
      <c r="O449" s="1750"/>
    </row>
    <row r="450" spans="9:15" x14ac:dyDescent="0.2">
      <c r="I450" s="1750"/>
      <c r="J450" s="1750"/>
      <c r="N450" s="1976"/>
      <c r="O450" s="1750"/>
    </row>
    <row r="451" spans="9:15" x14ac:dyDescent="0.2">
      <c r="I451" s="1750"/>
      <c r="J451" s="1750"/>
      <c r="N451" s="1976"/>
      <c r="O451" s="1750"/>
    </row>
    <row r="452" spans="9:15" x14ac:dyDescent="0.2">
      <c r="I452" s="1750"/>
      <c r="J452" s="1750"/>
      <c r="N452" s="1976"/>
      <c r="O452" s="1750"/>
    </row>
    <row r="453" spans="9:15" x14ac:dyDescent="0.2">
      <c r="I453" s="1750"/>
      <c r="J453" s="1750"/>
      <c r="N453" s="1976"/>
      <c r="O453" s="1750"/>
    </row>
    <row r="454" spans="9:15" x14ac:dyDescent="0.2">
      <c r="I454" s="1750"/>
      <c r="J454" s="1750"/>
      <c r="N454" s="1976"/>
      <c r="O454" s="1750"/>
    </row>
    <row r="455" spans="9:15" x14ac:dyDescent="0.2">
      <c r="I455" s="1750"/>
      <c r="J455" s="1750"/>
      <c r="N455" s="1976"/>
      <c r="O455" s="1750"/>
    </row>
    <row r="456" spans="9:15" x14ac:dyDescent="0.2">
      <c r="I456" s="1750"/>
      <c r="J456" s="1750"/>
      <c r="N456" s="1976"/>
      <c r="O456" s="1750"/>
    </row>
    <row r="457" spans="9:15" x14ac:dyDescent="0.2">
      <c r="I457" s="1750"/>
      <c r="J457" s="1750"/>
      <c r="N457" s="1976"/>
      <c r="O457" s="1750"/>
    </row>
    <row r="458" spans="9:15" x14ac:dyDescent="0.2">
      <c r="I458" s="1750"/>
      <c r="J458" s="1750"/>
      <c r="N458" s="1976"/>
      <c r="O458" s="1750"/>
    </row>
    <row r="459" spans="9:15" x14ac:dyDescent="0.2">
      <c r="I459" s="1750"/>
      <c r="J459" s="1750"/>
      <c r="N459" s="1976"/>
      <c r="O459" s="1750"/>
    </row>
    <row r="460" spans="9:15" x14ac:dyDescent="0.2">
      <c r="I460" s="1750"/>
      <c r="J460" s="1750"/>
      <c r="N460" s="1976"/>
      <c r="O460" s="1750"/>
    </row>
    <row r="461" spans="9:15" x14ac:dyDescent="0.2">
      <c r="I461" s="1750"/>
      <c r="J461" s="1750"/>
      <c r="N461" s="1976"/>
      <c r="O461" s="1750"/>
    </row>
    <row r="462" spans="9:15" x14ac:dyDescent="0.2">
      <c r="I462" s="1750"/>
      <c r="J462" s="1750"/>
      <c r="N462" s="1976"/>
      <c r="O462" s="1750"/>
    </row>
    <row r="463" spans="9:15" x14ac:dyDescent="0.2">
      <c r="I463" s="1750"/>
      <c r="J463" s="1750"/>
      <c r="N463" s="1976"/>
      <c r="O463" s="1750"/>
    </row>
    <row r="464" spans="9:15" x14ac:dyDescent="0.2">
      <c r="I464" s="1750"/>
      <c r="J464" s="1750"/>
      <c r="N464" s="1976"/>
      <c r="O464" s="1750"/>
    </row>
    <row r="465" spans="9:15" x14ac:dyDescent="0.2">
      <c r="I465" s="1750"/>
      <c r="J465" s="1750"/>
      <c r="N465" s="1976"/>
      <c r="O465" s="1750"/>
    </row>
    <row r="466" spans="9:15" x14ac:dyDescent="0.2">
      <c r="I466" s="1750"/>
      <c r="J466" s="1750"/>
      <c r="N466" s="1976"/>
      <c r="O466" s="1750"/>
    </row>
    <row r="467" spans="9:15" x14ac:dyDescent="0.2">
      <c r="I467" s="1750"/>
      <c r="J467" s="1750"/>
      <c r="N467" s="1976"/>
      <c r="O467" s="1750"/>
    </row>
    <row r="468" spans="9:15" x14ac:dyDescent="0.2">
      <c r="I468" s="1750"/>
      <c r="J468" s="1750"/>
      <c r="N468" s="1976"/>
      <c r="O468" s="1750"/>
    </row>
    <row r="469" spans="9:15" x14ac:dyDescent="0.2">
      <c r="I469" s="1750"/>
      <c r="J469" s="1750"/>
      <c r="N469" s="1976"/>
      <c r="O469" s="1750"/>
    </row>
    <row r="470" spans="9:15" x14ac:dyDescent="0.2">
      <c r="I470" s="1750"/>
      <c r="J470" s="1750"/>
      <c r="N470" s="1976"/>
      <c r="O470" s="1750"/>
    </row>
    <row r="471" spans="9:15" x14ac:dyDescent="0.2">
      <c r="I471" s="1750"/>
      <c r="J471" s="1750"/>
      <c r="N471" s="1976"/>
      <c r="O471" s="1750"/>
    </row>
    <row r="472" spans="9:15" x14ac:dyDescent="0.2">
      <c r="I472" s="1750"/>
      <c r="J472" s="1750"/>
      <c r="N472" s="1976"/>
      <c r="O472" s="1750"/>
    </row>
    <row r="473" spans="9:15" x14ac:dyDescent="0.2">
      <c r="I473" s="1750"/>
      <c r="J473" s="1750"/>
      <c r="N473" s="1976"/>
      <c r="O473" s="1750"/>
    </row>
    <row r="474" spans="9:15" x14ac:dyDescent="0.2">
      <c r="I474" s="1750"/>
      <c r="J474" s="1750"/>
      <c r="N474" s="1976"/>
      <c r="O474" s="1750"/>
    </row>
    <row r="475" spans="9:15" x14ac:dyDescent="0.2">
      <c r="I475" s="1750"/>
      <c r="J475" s="1750"/>
      <c r="N475" s="1976"/>
      <c r="O475" s="1750"/>
    </row>
    <row r="476" spans="9:15" x14ac:dyDescent="0.2">
      <c r="I476" s="1750"/>
      <c r="J476" s="1750"/>
      <c r="N476" s="1976"/>
      <c r="O476" s="1750"/>
    </row>
    <row r="477" spans="9:15" x14ac:dyDescent="0.2">
      <c r="I477" s="1750"/>
      <c r="J477" s="1750"/>
      <c r="N477" s="1976"/>
      <c r="O477" s="1750"/>
    </row>
    <row r="478" spans="9:15" x14ac:dyDescent="0.2">
      <c r="I478" s="1750"/>
      <c r="J478" s="1750"/>
      <c r="N478" s="1976"/>
      <c r="O478" s="1750"/>
    </row>
    <row r="479" spans="9:15" x14ac:dyDescent="0.2">
      <c r="I479" s="1750"/>
      <c r="J479" s="1750"/>
      <c r="N479" s="1976"/>
      <c r="O479" s="1750"/>
    </row>
    <row r="480" spans="9:15" x14ac:dyDescent="0.2">
      <c r="I480" s="1750"/>
      <c r="J480" s="1750"/>
      <c r="N480" s="1976"/>
      <c r="O480" s="1750"/>
    </row>
    <row r="481" spans="9:15" x14ac:dyDescent="0.2">
      <c r="I481" s="1750"/>
      <c r="J481" s="1750"/>
      <c r="N481" s="1976"/>
      <c r="O481" s="1750"/>
    </row>
    <row r="482" spans="9:15" x14ac:dyDescent="0.2">
      <c r="I482" s="1750"/>
      <c r="J482" s="1750"/>
      <c r="N482" s="1976"/>
      <c r="O482" s="1750"/>
    </row>
    <row r="483" spans="9:15" x14ac:dyDescent="0.2">
      <c r="I483" s="1750"/>
      <c r="J483" s="1750"/>
      <c r="N483" s="1976"/>
      <c r="O483" s="1750"/>
    </row>
    <row r="484" spans="9:15" x14ac:dyDescent="0.2">
      <c r="I484" s="1750"/>
      <c r="J484" s="1750"/>
      <c r="N484" s="1976"/>
      <c r="O484" s="1750"/>
    </row>
    <row r="485" spans="9:15" x14ac:dyDescent="0.2">
      <c r="I485" s="1750"/>
      <c r="J485" s="1750"/>
      <c r="N485" s="1976"/>
      <c r="O485" s="1750"/>
    </row>
    <row r="486" spans="9:15" x14ac:dyDescent="0.2">
      <c r="I486" s="1750"/>
      <c r="J486" s="1750"/>
      <c r="N486" s="1976"/>
      <c r="O486" s="1750"/>
    </row>
    <row r="487" spans="9:15" x14ac:dyDescent="0.2">
      <c r="I487" s="1750"/>
      <c r="J487" s="1750"/>
      <c r="N487" s="1976"/>
      <c r="O487" s="1750"/>
    </row>
    <row r="488" spans="9:15" x14ac:dyDescent="0.2">
      <c r="I488" s="1750"/>
      <c r="J488" s="1750"/>
      <c r="N488" s="1976"/>
      <c r="O488" s="1750"/>
    </row>
    <row r="489" spans="9:15" x14ac:dyDescent="0.2">
      <c r="I489" s="1750"/>
      <c r="J489" s="1750"/>
      <c r="N489" s="1976"/>
      <c r="O489" s="1750"/>
    </row>
    <row r="490" spans="9:15" x14ac:dyDescent="0.2">
      <c r="I490" s="1750"/>
      <c r="J490" s="1750"/>
      <c r="N490" s="1976"/>
      <c r="O490" s="1750"/>
    </row>
    <row r="491" spans="9:15" x14ac:dyDescent="0.2">
      <c r="I491" s="1750"/>
      <c r="J491" s="1750"/>
      <c r="N491" s="1976"/>
      <c r="O491" s="1750"/>
    </row>
    <row r="492" spans="9:15" x14ac:dyDescent="0.2">
      <c r="I492" s="1750"/>
      <c r="J492" s="1750"/>
      <c r="N492" s="1976"/>
      <c r="O492" s="1750"/>
    </row>
    <row r="493" spans="9:15" x14ac:dyDescent="0.2">
      <c r="I493" s="1750"/>
      <c r="J493" s="1750"/>
      <c r="N493" s="1976"/>
      <c r="O493" s="1750"/>
    </row>
    <row r="494" spans="9:15" x14ac:dyDescent="0.2">
      <c r="I494" s="1750"/>
      <c r="J494" s="1750"/>
      <c r="N494" s="1976"/>
      <c r="O494" s="1750"/>
    </row>
    <row r="495" spans="9:15" x14ac:dyDescent="0.2">
      <c r="I495" s="1750"/>
      <c r="J495" s="1750"/>
      <c r="N495" s="1976"/>
      <c r="O495" s="1750"/>
    </row>
    <row r="496" spans="9:15" x14ac:dyDescent="0.2">
      <c r="I496" s="1750"/>
      <c r="J496" s="1750"/>
      <c r="N496" s="1976"/>
      <c r="O496" s="1750"/>
    </row>
    <row r="497" spans="9:15" x14ac:dyDescent="0.2">
      <c r="I497" s="1750"/>
      <c r="J497" s="1750"/>
      <c r="N497" s="1976"/>
      <c r="O497" s="1750"/>
    </row>
    <row r="498" spans="9:15" x14ac:dyDescent="0.2">
      <c r="I498" s="1750"/>
      <c r="J498" s="1750"/>
      <c r="N498" s="1976"/>
      <c r="O498" s="1750"/>
    </row>
    <row r="499" spans="9:15" x14ac:dyDescent="0.2">
      <c r="I499" s="1750"/>
      <c r="J499" s="1750"/>
      <c r="N499" s="1976"/>
      <c r="O499" s="1750"/>
    </row>
    <row r="500" spans="9:15" x14ac:dyDescent="0.2">
      <c r="I500" s="1750"/>
      <c r="J500" s="1750"/>
      <c r="N500" s="1976"/>
      <c r="O500" s="1750"/>
    </row>
    <row r="501" spans="9:15" x14ac:dyDescent="0.2">
      <c r="I501" s="1750"/>
      <c r="J501" s="1750"/>
      <c r="N501" s="1976"/>
      <c r="O501" s="1750"/>
    </row>
    <row r="502" spans="9:15" x14ac:dyDescent="0.2">
      <c r="I502" s="1750"/>
      <c r="J502" s="1750"/>
      <c r="N502" s="1976"/>
      <c r="O502" s="1750"/>
    </row>
    <row r="503" spans="9:15" x14ac:dyDescent="0.2">
      <c r="I503" s="1750"/>
      <c r="J503" s="1750"/>
      <c r="N503" s="1976"/>
      <c r="O503" s="1750"/>
    </row>
    <row r="504" spans="9:15" x14ac:dyDescent="0.2">
      <c r="I504" s="1750"/>
      <c r="J504" s="1750"/>
      <c r="N504" s="1976"/>
      <c r="O504" s="1750"/>
    </row>
    <row r="505" spans="9:15" x14ac:dyDescent="0.2">
      <c r="I505" s="1750"/>
      <c r="J505" s="1750"/>
      <c r="N505" s="1976"/>
      <c r="O505" s="1750"/>
    </row>
    <row r="506" spans="9:15" x14ac:dyDescent="0.2">
      <c r="I506" s="1750"/>
      <c r="J506" s="1750"/>
      <c r="N506" s="1976"/>
      <c r="O506" s="1750"/>
    </row>
    <row r="507" spans="9:15" x14ac:dyDescent="0.2">
      <c r="I507" s="1750"/>
      <c r="J507" s="1750"/>
      <c r="N507" s="1976"/>
      <c r="O507" s="1750"/>
    </row>
    <row r="508" spans="9:15" x14ac:dyDescent="0.2">
      <c r="I508" s="1750"/>
      <c r="J508" s="1750"/>
      <c r="N508" s="1976"/>
      <c r="O508" s="1750"/>
    </row>
    <row r="509" spans="9:15" x14ac:dyDescent="0.2">
      <c r="I509" s="1750"/>
      <c r="J509" s="1750"/>
      <c r="N509" s="1976"/>
      <c r="O509" s="1750"/>
    </row>
    <row r="510" spans="9:15" x14ac:dyDescent="0.2">
      <c r="I510" s="1750"/>
      <c r="J510" s="1750"/>
      <c r="N510" s="1976"/>
      <c r="O510" s="1750"/>
    </row>
    <row r="511" spans="9:15" x14ac:dyDescent="0.2">
      <c r="I511" s="1750"/>
      <c r="J511" s="1750"/>
      <c r="N511" s="1976"/>
      <c r="O511" s="1750"/>
    </row>
    <row r="512" spans="9:15" x14ac:dyDescent="0.2">
      <c r="I512" s="1750"/>
      <c r="J512" s="1750"/>
      <c r="N512" s="1976"/>
      <c r="O512" s="1750"/>
    </row>
    <row r="513" spans="9:15" x14ac:dyDescent="0.2">
      <c r="I513" s="1750"/>
      <c r="J513" s="1750"/>
      <c r="N513" s="1976"/>
      <c r="O513" s="1750"/>
    </row>
    <row r="514" spans="9:15" x14ac:dyDescent="0.2">
      <c r="I514" s="1750"/>
      <c r="J514" s="1750"/>
      <c r="N514" s="1976"/>
      <c r="O514" s="1750"/>
    </row>
    <row r="515" spans="9:15" x14ac:dyDescent="0.2">
      <c r="I515" s="1750"/>
      <c r="J515" s="1750"/>
      <c r="N515" s="1976"/>
      <c r="O515" s="1750"/>
    </row>
    <row r="516" spans="9:15" x14ac:dyDescent="0.2">
      <c r="I516" s="1750"/>
      <c r="J516" s="1750"/>
      <c r="N516" s="1976"/>
      <c r="O516" s="1750"/>
    </row>
    <row r="517" spans="9:15" x14ac:dyDescent="0.2">
      <c r="I517" s="1750"/>
      <c r="J517" s="1750"/>
      <c r="N517" s="1976"/>
      <c r="O517" s="1750"/>
    </row>
    <row r="518" spans="9:15" x14ac:dyDescent="0.2">
      <c r="I518" s="1750"/>
      <c r="J518" s="1750"/>
      <c r="N518" s="1976"/>
      <c r="O518" s="1750"/>
    </row>
    <row r="519" spans="9:15" x14ac:dyDescent="0.2">
      <c r="I519" s="1750"/>
      <c r="J519" s="1750"/>
      <c r="N519" s="1976"/>
      <c r="O519" s="1750"/>
    </row>
    <row r="520" spans="9:15" x14ac:dyDescent="0.2">
      <c r="I520" s="1750"/>
      <c r="J520" s="1750"/>
      <c r="N520" s="1976"/>
      <c r="O520" s="1750"/>
    </row>
    <row r="521" spans="9:15" x14ac:dyDescent="0.2">
      <c r="I521" s="1750"/>
      <c r="J521" s="1750"/>
      <c r="N521" s="1976"/>
      <c r="O521" s="1750"/>
    </row>
    <row r="522" spans="9:15" x14ac:dyDescent="0.2">
      <c r="I522" s="1750"/>
      <c r="J522" s="1750"/>
      <c r="N522" s="1976"/>
      <c r="O522" s="1750"/>
    </row>
    <row r="523" spans="9:15" x14ac:dyDescent="0.2">
      <c r="I523" s="1750"/>
      <c r="J523" s="1750"/>
      <c r="N523" s="1976"/>
      <c r="O523" s="1750"/>
    </row>
    <row r="524" spans="9:15" x14ac:dyDescent="0.2">
      <c r="I524" s="1750"/>
      <c r="J524" s="1750"/>
      <c r="N524" s="1976"/>
      <c r="O524" s="1750"/>
    </row>
    <row r="525" spans="9:15" x14ac:dyDescent="0.2">
      <c r="I525" s="1750"/>
      <c r="J525" s="1750"/>
      <c r="N525" s="1976"/>
      <c r="O525" s="1750"/>
    </row>
    <row r="526" spans="9:15" x14ac:dyDescent="0.2">
      <c r="I526" s="1750"/>
      <c r="J526" s="1750"/>
      <c r="N526" s="1976"/>
      <c r="O526" s="1750"/>
    </row>
    <row r="527" spans="9:15" x14ac:dyDescent="0.2">
      <c r="I527" s="1750"/>
      <c r="J527" s="1750"/>
      <c r="N527" s="1976"/>
      <c r="O527" s="1750"/>
    </row>
    <row r="528" spans="9:15" x14ac:dyDescent="0.2">
      <c r="I528" s="1750"/>
      <c r="J528" s="1750"/>
      <c r="N528" s="1976"/>
      <c r="O528" s="1750"/>
    </row>
    <row r="529" spans="9:15" x14ac:dyDescent="0.2">
      <c r="I529" s="1750"/>
      <c r="J529" s="1750"/>
      <c r="N529" s="1976"/>
      <c r="O529" s="1750"/>
    </row>
    <row r="530" spans="9:15" x14ac:dyDescent="0.2">
      <c r="I530" s="1750"/>
      <c r="J530" s="1750"/>
      <c r="N530" s="1976"/>
      <c r="O530" s="1750"/>
    </row>
    <row r="531" spans="9:15" x14ac:dyDescent="0.2">
      <c r="I531" s="1750"/>
      <c r="J531" s="1750"/>
      <c r="N531" s="1976"/>
      <c r="O531" s="1750"/>
    </row>
    <row r="532" spans="9:15" x14ac:dyDescent="0.2">
      <c r="I532" s="1750"/>
      <c r="J532" s="1750"/>
      <c r="N532" s="1976"/>
      <c r="O532" s="1750"/>
    </row>
    <row r="533" spans="9:15" x14ac:dyDescent="0.2">
      <c r="I533" s="1750"/>
      <c r="J533" s="1750"/>
      <c r="N533" s="1976"/>
      <c r="O533" s="1750"/>
    </row>
    <row r="534" spans="9:15" x14ac:dyDescent="0.2">
      <c r="I534" s="1750"/>
      <c r="J534" s="1750"/>
      <c r="N534" s="1976"/>
      <c r="O534" s="1750"/>
    </row>
    <row r="535" spans="9:15" x14ac:dyDescent="0.2">
      <c r="I535" s="1750"/>
      <c r="J535" s="1750"/>
      <c r="N535" s="1976"/>
      <c r="O535" s="1750"/>
    </row>
    <row r="536" spans="9:15" x14ac:dyDescent="0.2">
      <c r="I536" s="1750"/>
      <c r="J536" s="1750"/>
      <c r="N536" s="1976"/>
      <c r="O536" s="1750"/>
    </row>
    <row r="537" spans="9:15" x14ac:dyDescent="0.2">
      <c r="I537" s="1750"/>
      <c r="J537" s="1750"/>
      <c r="N537" s="1976"/>
      <c r="O537" s="1750"/>
    </row>
    <row r="538" spans="9:15" x14ac:dyDescent="0.2">
      <c r="I538" s="1750"/>
      <c r="J538" s="1750"/>
      <c r="N538" s="1976"/>
      <c r="O538" s="1750"/>
    </row>
    <row r="539" spans="9:15" x14ac:dyDescent="0.2">
      <c r="I539" s="1750"/>
      <c r="J539" s="1750"/>
      <c r="N539" s="1976"/>
      <c r="O539" s="1750"/>
    </row>
    <row r="540" spans="9:15" x14ac:dyDescent="0.2">
      <c r="I540" s="1750"/>
      <c r="J540" s="1750"/>
      <c r="N540" s="1976"/>
      <c r="O540" s="1750"/>
    </row>
    <row r="541" spans="9:15" x14ac:dyDescent="0.2">
      <c r="I541" s="1750"/>
      <c r="J541" s="1750"/>
      <c r="N541" s="1976"/>
      <c r="O541" s="1750"/>
    </row>
    <row r="542" spans="9:15" x14ac:dyDescent="0.2">
      <c r="I542" s="1750"/>
      <c r="J542" s="1750"/>
      <c r="N542" s="1976"/>
      <c r="O542" s="1750"/>
    </row>
    <row r="543" spans="9:15" x14ac:dyDescent="0.2">
      <c r="I543" s="1750"/>
      <c r="J543" s="1750"/>
      <c r="N543" s="1976"/>
      <c r="O543" s="1750"/>
    </row>
    <row r="544" spans="9:15" x14ac:dyDescent="0.2">
      <c r="I544" s="1750"/>
      <c r="J544" s="1750"/>
      <c r="N544" s="1976"/>
      <c r="O544" s="1750"/>
    </row>
    <row r="545" spans="9:15" x14ac:dyDescent="0.2">
      <c r="I545" s="1750"/>
      <c r="J545" s="1750"/>
      <c r="N545" s="1976"/>
      <c r="O545" s="1750"/>
    </row>
    <row r="546" spans="9:15" x14ac:dyDescent="0.2">
      <c r="I546" s="1750"/>
      <c r="J546" s="1750"/>
      <c r="N546" s="1976"/>
      <c r="O546" s="1750"/>
    </row>
  </sheetData>
  <mergeCells count="59">
    <mergeCell ref="A5:N5"/>
    <mergeCell ref="A6:A9"/>
    <mergeCell ref="B6:B9"/>
    <mergeCell ref="C6:C9"/>
    <mergeCell ref="D6:H6"/>
    <mergeCell ref="D7:D9"/>
    <mergeCell ref="E7:E9"/>
    <mergeCell ref="F7:F9"/>
    <mergeCell ref="K8:K9"/>
    <mergeCell ref="L8:L9"/>
    <mergeCell ref="M8:M9"/>
    <mergeCell ref="N6:N9"/>
    <mergeCell ref="I6:L6"/>
    <mergeCell ref="A14:A21"/>
    <mergeCell ref="N14:N21"/>
    <mergeCell ref="C15:C18"/>
    <mergeCell ref="C20:C21"/>
    <mergeCell ref="I7:I9"/>
    <mergeCell ref="G7:H7"/>
    <mergeCell ref="G8:G9"/>
    <mergeCell ref="H8:H9"/>
    <mergeCell ref="J7:J9"/>
    <mergeCell ref="A10:B10"/>
    <mergeCell ref="K7:L7"/>
    <mergeCell ref="C29:C30"/>
    <mergeCell ref="A40:A48"/>
    <mergeCell ref="N40:N48"/>
    <mergeCell ref="C42:C45"/>
    <mergeCell ref="C47:C48"/>
    <mergeCell ref="A31:A39"/>
    <mergeCell ref="C33:C36"/>
    <mergeCell ref="C38:C39"/>
    <mergeCell ref="N31:N39"/>
    <mergeCell ref="K1:L1"/>
    <mergeCell ref="A63:A69"/>
    <mergeCell ref="N63:N69"/>
    <mergeCell ref="C65:C66"/>
    <mergeCell ref="C68:C69"/>
    <mergeCell ref="A49:A55"/>
    <mergeCell ref="N49:N55"/>
    <mergeCell ref="C51:C52"/>
    <mergeCell ref="C54:C55"/>
    <mergeCell ref="A56:A62"/>
    <mergeCell ref="N56:N62"/>
    <mergeCell ref="C58:C59"/>
    <mergeCell ref="C61:C62"/>
    <mergeCell ref="A22:A30"/>
    <mergeCell ref="N22:N30"/>
    <mergeCell ref="C24:C27"/>
    <mergeCell ref="N85:N88"/>
    <mergeCell ref="A70:A76"/>
    <mergeCell ref="N70:N76"/>
    <mergeCell ref="C72:C73"/>
    <mergeCell ref="C75:C76"/>
    <mergeCell ref="A85:A88"/>
    <mergeCell ref="C87:C88"/>
    <mergeCell ref="A82:A84"/>
    <mergeCell ref="N82:N84"/>
    <mergeCell ref="C83:C84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64" orientation="portrait" useFirstPageNumber="1" r:id="rId1"/>
  <headerFooter alignWithMargins="0">
    <oddHeader>&amp;C&amp;"Arial,Kursywa"Informacja o wykonaniu budżetu Województwa Zachodniopomorskiego za I kwartał 2014 roku
______________________________________________________________________________________________________________________</oddHeader>
    <oddFooter>&amp;C&amp;8&amp;P</oddFooter>
  </headerFooter>
  <rowBreaks count="1" manualBreakCount="1">
    <brk id="69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19</vt:i4>
      </vt:variant>
    </vt:vector>
  </HeadingPairs>
  <TitlesOfParts>
    <vt:vector size="30" baseType="lpstr">
      <vt:lpstr>zał. nr 2</vt:lpstr>
      <vt:lpstr>Drogi</vt:lpstr>
      <vt:lpstr>Polityka społeczna i rozwój prz</vt:lpstr>
      <vt:lpstr>Ochrona zdrowia</vt:lpstr>
      <vt:lpstr>Oświata</vt:lpstr>
      <vt:lpstr>Administracja</vt:lpstr>
      <vt:lpstr>Kultura</vt:lpstr>
      <vt:lpstr>Rolnictwo i Ochrona środowiska</vt:lpstr>
      <vt:lpstr>Kultura fizyczna i turystyka</vt:lpstr>
      <vt:lpstr>Planowanie przestrzenne</vt:lpstr>
      <vt:lpstr>Arkusz1</vt:lpstr>
      <vt:lpstr>Administracja!Obszar_wydruku</vt:lpstr>
      <vt:lpstr>Drogi!Obszar_wydruku</vt:lpstr>
      <vt:lpstr>Kultura!Obszar_wydruku</vt:lpstr>
      <vt:lpstr>'Kultura fizyczna i turystyka'!Obszar_wydruku</vt:lpstr>
      <vt:lpstr>'Ochrona zdrowia'!Obszar_wydruku</vt:lpstr>
      <vt:lpstr>Oświata!Obszar_wydruku</vt:lpstr>
      <vt:lpstr>'Planowanie przestrzenne'!Obszar_wydruku</vt:lpstr>
      <vt:lpstr>'Polityka społeczna i rozwój prz'!Obszar_wydruku</vt:lpstr>
      <vt:lpstr>'Rolnictwo i Ochrona środowiska'!Obszar_wydruku</vt:lpstr>
      <vt:lpstr>'zał. nr 2'!Obszar_wydruku</vt:lpstr>
      <vt:lpstr>Administracja!Tytuły_wydruku</vt:lpstr>
      <vt:lpstr>Drogi!Tytuły_wydruku</vt:lpstr>
      <vt:lpstr>Kultura!Tytuły_wydruku</vt:lpstr>
      <vt:lpstr>'Kultura fizyczna i turystyka'!Tytuły_wydruku</vt:lpstr>
      <vt:lpstr>'Ochrona zdrowia'!Tytuły_wydruku</vt:lpstr>
      <vt:lpstr>Oświata!Tytuły_wydruku</vt:lpstr>
      <vt:lpstr>'Planowanie przestrzenne'!Tytuły_wydruku</vt:lpstr>
      <vt:lpstr>'Polityka społeczna i rozwój prz'!Tytuły_wydruku</vt:lpstr>
      <vt:lpstr>'Rolnictwo i Ochrona środowiska'!Tytuły_wydruku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2014-05-19T07:51:26Z</cp:lastPrinted>
  <dcterms:created xsi:type="dcterms:W3CDTF">2013-04-19T09:23:32Z</dcterms:created>
  <dcterms:modified xsi:type="dcterms:W3CDTF">2014-05-22T08:54:05Z</dcterms:modified>
</cp:coreProperties>
</file>